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mc:AlternateContent xmlns:mc="http://schemas.openxmlformats.org/markup-compatibility/2006">
    <mc:Choice Requires="x15">
      <x15ac:absPath xmlns:x15ac="http://schemas.microsoft.com/office/spreadsheetml/2010/11/ac" url="https://tecnube1-my.sharepoint.com/personal/ga_itcr_ac_cr/Documents/GAmbiental/Carbono Neutro TEC/01. Cartago/02. Documentación/03. Plan de gestión de las reducciones/"/>
    </mc:Choice>
  </mc:AlternateContent>
  <xr:revisionPtr revIDLastSave="1069" documentId="8_{B377E774-300E-4DC2-A6A2-C9BF9B5987A7}" xr6:coauthVersionLast="47" xr6:coauthVersionMax="47" xr10:uidLastSave="{C5C03A57-180B-4C20-A62D-0F2A4B696904}"/>
  <bookViews>
    <workbookView xWindow="20370" yWindow="-120" windowWidth="29040" windowHeight="15840" firstSheet="3" activeTab="3" xr2:uid="{00000000-000D-0000-FFFF-FFFF00000000}"/>
  </bookViews>
  <sheets>
    <sheet name="Declaración de compromiso" sheetId="2" r:id="rId1"/>
    <sheet name="Indir Significativas en el plan" sheetId="11" r:id="rId2"/>
    <sheet name="Plan de gestión de reducciones" sheetId="3" r:id="rId3"/>
    <sheet name="Documentación de reducciones" sheetId="9" r:id="rId4"/>
    <sheet name="Combustible" sheetId="12" r:id="rId5"/>
    <sheet name="Bicicletas" sheetId="14" r:id="rId6"/>
    <sheet name="Luminarias" sheetId="15" r:id="rId7"/>
  </sheets>
  <definedNames>
    <definedName name="_xlnm._FilterDatabase" localSheetId="4" hidden="1">Combustible!$M$87:$X$132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yWo8BMgbNtGCSL0yxs2QRppx3GQ=="/>
    </ext>
  </extLst>
</workbook>
</file>

<file path=xl/calcChain.xml><?xml version="1.0" encoding="utf-8"?>
<calcChain xmlns="http://schemas.openxmlformats.org/spreadsheetml/2006/main">
  <c r="J9" i="9" l="1"/>
  <c r="G16" i="9"/>
  <c r="J11" i="9" s="1"/>
  <c r="K67" i="9"/>
  <c r="K68" i="9"/>
  <c r="K69" i="9" s="1"/>
  <c r="K70" i="9" s="1"/>
  <c r="C80" i="9"/>
  <c r="B87" i="9"/>
  <c r="H7" i="15"/>
  <c r="G7" i="15"/>
  <c r="K136" i="12"/>
  <c r="J136" i="12"/>
  <c r="G135" i="12"/>
  <c r="I136" i="12"/>
  <c r="I9" i="15"/>
  <c r="D9" i="15"/>
  <c r="N7" i="15"/>
  <c r="K43" i="9" s="1"/>
  <c r="L8" i="15"/>
  <c r="M8" i="15" s="1"/>
  <c r="G8" i="15"/>
  <c r="H8" i="15" s="1"/>
  <c r="L7" i="15"/>
  <c r="M7" i="15" s="1"/>
  <c r="F7" i="15"/>
  <c r="O47" i="14"/>
  <c r="E19" i="14" s="1"/>
  <c r="E29" i="14"/>
  <c r="E34" i="14" s="1"/>
  <c r="E35" i="14" s="1"/>
  <c r="E36" i="14" s="1"/>
  <c r="K25" i="9" s="1"/>
  <c r="E24" i="14"/>
  <c r="E22" i="14"/>
  <c r="C15" i="14"/>
  <c r="N8" i="15" l="1"/>
  <c r="K44" i="9" s="1"/>
  <c r="K45" i="9" s="1"/>
  <c r="L46" i="9" s="1"/>
  <c r="F11" i="14"/>
  <c r="F13" i="14"/>
  <c r="F12" i="14"/>
  <c r="F14" i="14"/>
  <c r="N9" i="15" l="1"/>
  <c r="E39" i="14"/>
  <c r="F15" i="14"/>
  <c r="E41" i="14" l="1"/>
  <c r="K27" i="9"/>
  <c r="E45" i="14" l="1"/>
  <c r="E46" i="14" s="1"/>
  <c r="K28" i="9"/>
  <c r="K30" i="9" l="1"/>
  <c r="E29" i="9" s="1"/>
  <c r="C77" i="9" s="1"/>
  <c r="J96" i="12"/>
  <c r="I66" i="12"/>
  <c r="H125" i="12"/>
  <c r="W162" i="12"/>
  <c r="V162" i="12"/>
  <c r="X162" i="12" s="1"/>
  <c r="S80" i="12"/>
  <c r="S79" i="12"/>
  <c r="S78" i="12"/>
  <c r="S77" i="12"/>
  <c r="S76" i="12"/>
  <c r="S75" i="12"/>
  <c r="S74" i="12"/>
  <c r="S73" i="12"/>
  <c r="S72" i="12"/>
  <c r="S71" i="12"/>
  <c r="S70" i="12"/>
  <c r="S69" i="12"/>
  <c r="S68" i="12"/>
  <c r="S67" i="12"/>
  <c r="S66" i="12"/>
  <c r="S65" i="12"/>
  <c r="S64" i="12"/>
  <c r="S63" i="12"/>
  <c r="S62" i="12"/>
  <c r="S61" i="12"/>
  <c r="S60" i="12"/>
  <c r="S59" i="12"/>
  <c r="S58" i="12"/>
  <c r="S57" i="12"/>
  <c r="S56" i="12"/>
  <c r="S55" i="12"/>
  <c r="S54" i="12"/>
  <c r="S53" i="12"/>
  <c r="S52" i="12"/>
  <c r="S51" i="12"/>
  <c r="S50" i="12"/>
  <c r="S49" i="12"/>
  <c r="S48" i="12"/>
  <c r="S47" i="12"/>
  <c r="S46" i="12"/>
  <c r="S45" i="12"/>
  <c r="S44" i="12"/>
  <c r="S43" i="12"/>
  <c r="S42" i="12"/>
  <c r="S41" i="12"/>
  <c r="S40" i="12"/>
  <c r="S39" i="12"/>
  <c r="S38" i="12"/>
  <c r="S37" i="12"/>
  <c r="S36" i="12"/>
  <c r="S35" i="12"/>
  <c r="S34" i="12"/>
  <c r="S33" i="12"/>
  <c r="S32" i="12"/>
  <c r="S31" i="12"/>
  <c r="S30" i="12"/>
  <c r="S29" i="12"/>
  <c r="S28" i="12"/>
  <c r="S27" i="12"/>
  <c r="S26" i="12"/>
  <c r="S25" i="12"/>
  <c r="S24" i="12"/>
  <c r="S23" i="12"/>
  <c r="S22" i="12"/>
  <c r="S21" i="12"/>
  <c r="S20" i="12"/>
  <c r="S19" i="12"/>
  <c r="S18" i="12"/>
  <c r="S17" i="12"/>
  <c r="S16" i="12"/>
  <c r="S15" i="12"/>
  <c r="S14" i="12"/>
  <c r="V14" i="12"/>
  <c r="U14" i="12"/>
  <c r="W14" i="12" s="1"/>
  <c r="K65" i="9" l="1"/>
  <c r="T212" i="12"/>
  <c r="W211" i="12"/>
  <c r="V211" i="12"/>
  <c r="W210" i="12"/>
  <c r="V210" i="12"/>
  <c r="X210" i="12" s="1"/>
  <c r="W209" i="12"/>
  <c r="V209" i="12"/>
  <c r="W208" i="12"/>
  <c r="V208" i="12"/>
  <c r="W207" i="12"/>
  <c r="V207" i="12"/>
  <c r="W206" i="12"/>
  <c r="V206" i="12"/>
  <c r="X206" i="12" s="1"/>
  <c r="W205" i="12"/>
  <c r="V205" i="12"/>
  <c r="W204" i="12"/>
  <c r="V204" i="12"/>
  <c r="W203" i="12"/>
  <c r="V203" i="12"/>
  <c r="W202" i="12"/>
  <c r="V202" i="12"/>
  <c r="X202" i="12" s="1"/>
  <c r="W201" i="12"/>
  <c r="V201" i="12"/>
  <c r="W200" i="12"/>
  <c r="V200" i="12"/>
  <c r="X200" i="12" s="1"/>
  <c r="W199" i="12"/>
  <c r="V199" i="12"/>
  <c r="W198" i="12"/>
  <c r="V198" i="12"/>
  <c r="X198" i="12" s="1"/>
  <c r="W197" i="12"/>
  <c r="V197" i="12"/>
  <c r="X197" i="12" s="1"/>
  <c r="W196" i="12"/>
  <c r="V196" i="12"/>
  <c r="X196" i="12" s="1"/>
  <c r="W195" i="12"/>
  <c r="V195" i="12"/>
  <c r="W194" i="12"/>
  <c r="V194" i="12"/>
  <c r="X194" i="12" s="1"/>
  <c r="W193" i="12"/>
  <c r="V193" i="12"/>
  <c r="W192" i="12"/>
  <c r="V192" i="12"/>
  <c r="X192" i="12" s="1"/>
  <c r="W191" i="12"/>
  <c r="V191" i="12"/>
  <c r="W190" i="12"/>
  <c r="V190" i="12"/>
  <c r="X190" i="12" s="1"/>
  <c r="W189" i="12"/>
  <c r="V189" i="12"/>
  <c r="X189" i="12" s="1"/>
  <c r="W188" i="12"/>
  <c r="V188" i="12"/>
  <c r="X188" i="12" s="1"/>
  <c r="V173" i="12"/>
  <c r="W173" i="12"/>
  <c r="V174" i="12"/>
  <c r="W174" i="12"/>
  <c r="V175" i="12"/>
  <c r="W175" i="12"/>
  <c r="V176" i="12"/>
  <c r="W176" i="12"/>
  <c r="V177" i="12"/>
  <c r="W177" i="12"/>
  <c r="V178" i="12"/>
  <c r="W178" i="12"/>
  <c r="V179" i="12"/>
  <c r="W179" i="12"/>
  <c r="V170" i="12"/>
  <c r="W170" i="12"/>
  <c r="V171" i="12"/>
  <c r="W171" i="12"/>
  <c r="V172" i="12"/>
  <c r="W172" i="12"/>
  <c r="V169" i="12"/>
  <c r="W169" i="12"/>
  <c r="W168" i="12"/>
  <c r="V168" i="12"/>
  <c r="W167" i="12"/>
  <c r="W166" i="12"/>
  <c r="V166" i="12"/>
  <c r="W165" i="12"/>
  <c r="W164" i="12"/>
  <c r="V164" i="12"/>
  <c r="W163" i="12"/>
  <c r="T148" i="12"/>
  <c r="W148" i="12" s="1"/>
  <c r="T147" i="12"/>
  <c r="W147" i="12" s="1"/>
  <c r="T146" i="12"/>
  <c r="V146" i="12" s="1"/>
  <c r="T145" i="12"/>
  <c r="W145" i="12" s="1"/>
  <c r="T144" i="12"/>
  <c r="W144" i="12" s="1"/>
  <c r="T143" i="12"/>
  <c r="W143" i="12" s="1"/>
  <c r="T142" i="12"/>
  <c r="V142" i="12" s="1"/>
  <c r="T141" i="12"/>
  <c r="V141" i="12" s="1"/>
  <c r="F136" i="12"/>
  <c r="T131" i="12"/>
  <c r="W131" i="12" s="1"/>
  <c r="T130" i="12"/>
  <c r="W130" i="12" s="1"/>
  <c r="T129" i="12"/>
  <c r="V129" i="12" s="1"/>
  <c r="T128" i="12"/>
  <c r="W128" i="12" s="1"/>
  <c r="T127" i="12"/>
  <c r="V127" i="12" s="1"/>
  <c r="T126" i="12"/>
  <c r="W126" i="12" s="1"/>
  <c r="T125" i="12"/>
  <c r="W124" i="12" s="1"/>
  <c r="T124" i="12"/>
  <c r="T123" i="12"/>
  <c r="W123" i="12" s="1"/>
  <c r="T122" i="12"/>
  <c r="V122" i="12" s="1"/>
  <c r="T121" i="12"/>
  <c r="W121" i="12" s="1"/>
  <c r="T120" i="12"/>
  <c r="V120" i="12" s="1"/>
  <c r="T119" i="12"/>
  <c r="W119" i="12" s="1"/>
  <c r="T118" i="12"/>
  <c r="V118" i="12" s="1"/>
  <c r="T117" i="12"/>
  <c r="W117" i="12" s="1"/>
  <c r="T116" i="12"/>
  <c r="W116" i="12" s="1"/>
  <c r="T115" i="12"/>
  <c r="W115" i="12" s="1"/>
  <c r="T114" i="12"/>
  <c r="V114" i="12" s="1"/>
  <c r="T113" i="12"/>
  <c r="W113" i="12" s="1"/>
  <c r="T112" i="12"/>
  <c r="V112" i="12" s="1"/>
  <c r="T111" i="12"/>
  <c r="W111" i="12" s="1"/>
  <c r="T110" i="12"/>
  <c r="V110" i="12" s="1"/>
  <c r="T109" i="12"/>
  <c r="W109" i="12" s="1"/>
  <c r="T108" i="12"/>
  <c r="W108" i="12" s="1"/>
  <c r="T107" i="12"/>
  <c r="V107" i="12" s="1"/>
  <c r="T106" i="12"/>
  <c r="V106" i="12" s="1"/>
  <c r="T105" i="12"/>
  <c r="W105" i="12" s="1"/>
  <c r="T104" i="12"/>
  <c r="W104" i="12" s="1"/>
  <c r="T103" i="12"/>
  <c r="V103" i="12" s="1"/>
  <c r="T102" i="12"/>
  <c r="W102" i="12" s="1"/>
  <c r="T101" i="12"/>
  <c r="W101" i="12" s="1"/>
  <c r="J101" i="12"/>
  <c r="I101" i="12"/>
  <c r="F101" i="12"/>
  <c r="K101" i="12" s="1"/>
  <c r="T100" i="12"/>
  <c r="W100" i="12" s="1"/>
  <c r="T99" i="12"/>
  <c r="W99" i="12" s="1"/>
  <c r="T98" i="12"/>
  <c r="W98" i="12" s="1"/>
  <c r="T97" i="12"/>
  <c r="W97" i="12" s="1"/>
  <c r="T96" i="12"/>
  <c r="W96" i="12" s="1"/>
  <c r="T95" i="12"/>
  <c r="W95" i="12" s="1"/>
  <c r="T94" i="12"/>
  <c r="W94" i="12" s="1"/>
  <c r="T93" i="12"/>
  <c r="W93" i="12" s="1"/>
  <c r="T92" i="12"/>
  <c r="W92" i="12" s="1"/>
  <c r="W91" i="12"/>
  <c r="V91" i="12"/>
  <c r="T90" i="12"/>
  <c r="H90" i="12"/>
  <c r="T89" i="12"/>
  <c r="W89" i="12" s="1"/>
  <c r="T88" i="12"/>
  <c r="W88" i="12" s="1"/>
  <c r="V80" i="12"/>
  <c r="V79" i="12"/>
  <c r="V78" i="12"/>
  <c r="V77" i="12"/>
  <c r="V76" i="12"/>
  <c r="V75" i="12"/>
  <c r="U74" i="12"/>
  <c r="V73" i="12"/>
  <c r="U72" i="12"/>
  <c r="V71" i="12"/>
  <c r="V70" i="12"/>
  <c r="U69" i="12"/>
  <c r="V68" i="12"/>
  <c r="U67" i="12"/>
  <c r="V66" i="12"/>
  <c r="J66" i="12"/>
  <c r="F66" i="12"/>
  <c r="K66" i="12" s="1"/>
  <c r="V65" i="12"/>
  <c r="V64" i="12"/>
  <c r="V63" i="12"/>
  <c r="V62" i="12"/>
  <c r="V61" i="12"/>
  <c r="V60" i="12"/>
  <c r="V59" i="12"/>
  <c r="V58" i="12"/>
  <c r="V57" i="12"/>
  <c r="V56" i="12"/>
  <c r="V55" i="12"/>
  <c r="H55" i="12"/>
  <c r="V54" i="12"/>
  <c r="V53" i="12"/>
  <c r="V52" i="12"/>
  <c r="V51" i="12"/>
  <c r="V50" i="12"/>
  <c r="V49" i="12"/>
  <c r="V48" i="12"/>
  <c r="V47" i="12"/>
  <c r="U46" i="12"/>
  <c r="U45" i="12"/>
  <c r="V44" i="12"/>
  <c r="V43" i="12"/>
  <c r="U42" i="12"/>
  <c r="U41" i="12"/>
  <c r="V40" i="12"/>
  <c r="V39" i="12"/>
  <c r="V38" i="12"/>
  <c r="U37" i="12"/>
  <c r="V36" i="12"/>
  <c r="U35" i="12"/>
  <c r="V34" i="12"/>
  <c r="U33" i="12"/>
  <c r="V32" i="12"/>
  <c r="J32" i="12"/>
  <c r="I32" i="12"/>
  <c r="F32" i="12"/>
  <c r="K32" i="12" s="1"/>
  <c r="U31" i="12"/>
  <c r="V30" i="12"/>
  <c r="V29" i="12"/>
  <c r="V28" i="12"/>
  <c r="H28" i="12"/>
  <c r="V27" i="12"/>
  <c r="V26" i="12"/>
  <c r="U25" i="12"/>
  <c r="V24" i="12"/>
  <c r="V23" i="12"/>
  <c r="V22" i="12"/>
  <c r="U21" i="12"/>
  <c r="H21" i="12"/>
  <c r="U20" i="12"/>
  <c r="U19" i="12"/>
  <c r="V18" i="12"/>
  <c r="V17" i="12"/>
  <c r="V16" i="12"/>
  <c r="V15" i="12"/>
  <c r="X195" i="12" l="1"/>
  <c r="X203" i="12"/>
  <c r="X204" i="12"/>
  <c r="X205" i="12"/>
  <c r="X191" i="12"/>
  <c r="X199" i="12"/>
  <c r="X207" i="12"/>
  <c r="X193" i="12"/>
  <c r="X201" i="12"/>
  <c r="X211" i="12"/>
  <c r="X208" i="12"/>
  <c r="X212" i="12" s="1"/>
  <c r="X209" i="12"/>
  <c r="X174" i="12"/>
  <c r="L48" i="9"/>
  <c r="E45" i="9" s="1"/>
  <c r="E68" i="9"/>
  <c r="C79" i="9" s="1"/>
  <c r="X178" i="12"/>
  <c r="X179" i="12"/>
  <c r="X175" i="12"/>
  <c r="X177" i="12"/>
  <c r="X173" i="12"/>
  <c r="X176" i="12"/>
  <c r="U65" i="12"/>
  <c r="W65" i="12" s="1"/>
  <c r="X172" i="12"/>
  <c r="X171" i="12"/>
  <c r="X170" i="12"/>
  <c r="V102" i="12"/>
  <c r="X102" i="12" s="1"/>
  <c r="V93" i="12"/>
  <c r="X93" i="12" s="1"/>
  <c r="W107" i="12"/>
  <c r="X107" i="12" s="1"/>
  <c r="U63" i="12"/>
  <c r="W63" i="12" s="1"/>
  <c r="U17" i="12"/>
  <c r="W17" i="12" s="1"/>
  <c r="V74" i="12"/>
  <c r="W74" i="12" s="1"/>
  <c r="X169" i="12"/>
  <c r="V45" i="12"/>
  <c r="W45" i="12" s="1"/>
  <c r="U61" i="12"/>
  <c r="W61" i="12" s="1"/>
  <c r="U56" i="12"/>
  <c r="W56" i="12" s="1"/>
  <c r="V89" i="12"/>
  <c r="X89" i="12" s="1"/>
  <c r="W146" i="12"/>
  <c r="X146" i="12" s="1"/>
  <c r="V42" i="12"/>
  <c r="W42" i="12" s="1"/>
  <c r="V105" i="12"/>
  <c r="X105" i="12" s="1"/>
  <c r="W142" i="12"/>
  <c r="X142" i="12" s="1"/>
  <c r="V72" i="12"/>
  <c r="W72" i="12" s="1"/>
  <c r="U76" i="12"/>
  <c r="W76" i="12" s="1"/>
  <c r="V109" i="12"/>
  <c r="X109" i="12" s="1"/>
  <c r="V116" i="12"/>
  <c r="X116" i="12" s="1"/>
  <c r="W127" i="12"/>
  <c r="X127" i="12" s="1"/>
  <c r="V124" i="12"/>
  <c r="X124" i="12" s="1"/>
  <c r="U59" i="12"/>
  <c r="W59" i="12" s="1"/>
  <c r="V130" i="12"/>
  <c r="X130" i="12" s="1"/>
  <c r="U27" i="12"/>
  <c r="W27" i="12" s="1"/>
  <c r="U30" i="12"/>
  <c r="W30" i="12" s="1"/>
  <c r="V96" i="12"/>
  <c r="X96" i="12" s="1"/>
  <c r="V115" i="12"/>
  <c r="X115" i="12" s="1"/>
  <c r="U40" i="12"/>
  <c r="W40" i="12" s="1"/>
  <c r="W103" i="12"/>
  <c r="X103" i="12" s="1"/>
  <c r="W129" i="12"/>
  <c r="X129" i="12" s="1"/>
  <c r="V143" i="12"/>
  <c r="X143" i="12" s="1"/>
  <c r="U38" i="12"/>
  <c r="W38" i="12" s="1"/>
  <c r="U53" i="12"/>
  <c r="W53" i="12" s="1"/>
  <c r="V46" i="12"/>
  <c r="W46" i="12" s="1"/>
  <c r="W112" i="12"/>
  <c r="X112" i="12" s="1"/>
  <c r="V21" i="12"/>
  <c r="W21" i="12" s="1"/>
  <c r="V41" i="12"/>
  <c r="W41" i="12" s="1"/>
  <c r="V108" i="12"/>
  <c r="X108" i="12" s="1"/>
  <c r="V117" i="12"/>
  <c r="X117" i="12" s="1"/>
  <c r="W114" i="12"/>
  <c r="X114" i="12" s="1"/>
  <c r="V123" i="12"/>
  <c r="X123" i="12" s="1"/>
  <c r="T132" i="12"/>
  <c r="V31" i="12"/>
  <c r="W31" i="12" s="1"/>
  <c r="V37" i="12"/>
  <c r="W37" i="12" s="1"/>
  <c r="U44" i="12"/>
  <c r="W44" i="12" s="1"/>
  <c r="U48" i="12"/>
  <c r="W48" i="12" s="1"/>
  <c r="U50" i="12"/>
  <c r="W50" i="12" s="1"/>
  <c r="U54" i="12"/>
  <c r="W54" i="12" s="1"/>
  <c r="V67" i="12"/>
  <c r="W67" i="12" s="1"/>
  <c r="V69" i="12"/>
  <c r="W69" i="12" s="1"/>
  <c r="U75" i="12"/>
  <c r="W75" i="12" s="1"/>
  <c r="V88" i="12"/>
  <c r="X88" i="12" s="1"/>
  <c r="X91" i="12"/>
  <c r="V94" i="12"/>
  <c r="X94" i="12" s="1"/>
  <c r="V104" i="12"/>
  <c r="X104" i="12" s="1"/>
  <c r="W106" i="12"/>
  <c r="X106" i="12" s="1"/>
  <c r="W110" i="12"/>
  <c r="X110" i="12" s="1"/>
  <c r="V113" i="12"/>
  <c r="X113" i="12" s="1"/>
  <c r="W118" i="12"/>
  <c r="X118" i="12" s="1"/>
  <c r="W120" i="12"/>
  <c r="X120" i="12" s="1"/>
  <c r="W122" i="12"/>
  <c r="X122" i="12" s="1"/>
  <c r="V128" i="12"/>
  <c r="X128" i="12" s="1"/>
  <c r="T149" i="12"/>
  <c r="V144" i="12"/>
  <c r="X144" i="12" s="1"/>
  <c r="V147" i="12"/>
  <c r="X147" i="12" s="1"/>
  <c r="U58" i="12"/>
  <c r="W58" i="12" s="1"/>
  <c r="U15" i="12"/>
  <c r="W15" i="12" s="1"/>
  <c r="V20" i="12"/>
  <c r="W20" i="12" s="1"/>
  <c r="V25" i="12"/>
  <c r="W25" i="12" s="1"/>
  <c r="V19" i="12"/>
  <c r="W19" i="12" s="1"/>
  <c r="U22" i="12"/>
  <c r="W22" i="12" s="1"/>
  <c r="V33" i="12"/>
  <c r="W33" i="12" s="1"/>
  <c r="U57" i="12"/>
  <c r="W57" i="12" s="1"/>
  <c r="U68" i="12"/>
  <c r="W68" i="12" s="1"/>
  <c r="U73" i="12"/>
  <c r="W73" i="12" s="1"/>
  <c r="U80" i="12"/>
  <c r="W80" i="12" s="1"/>
  <c r="V111" i="12"/>
  <c r="X111" i="12" s="1"/>
  <c r="V148" i="12"/>
  <c r="X148" i="12" s="1"/>
  <c r="U78" i="12"/>
  <c r="W78" i="12" s="1"/>
  <c r="U29" i="12"/>
  <c r="W29" i="12" s="1"/>
  <c r="V145" i="12"/>
  <c r="X145" i="12" s="1"/>
  <c r="V35" i="12"/>
  <c r="W35" i="12" s="1"/>
  <c r="U55" i="12"/>
  <c r="W55" i="12" s="1"/>
  <c r="X166" i="12"/>
  <c r="X168" i="12"/>
  <c r="X164" i="12"/>
  <c r="V163" i="12"/>
  <c r="X163" i="12" s="1"/>
  <c r="V165" i="12"/>
  <c r="X165" i="12" s="1"/>
  <c r="V167" i="12"/>
  <c r="X167" i="12" s="1"/>
  <c r="T181" i="12"/>
  <c r="U16" i="12"/>
  <c r="W16" i="12" s="1"/>
  <c r="U18" i="12"/>
  <c r="W18" i="12" s="1"/>
  <c r="U23" i="12"/>
  <c r="W23" i="12" s="1"/>
  <c r="U52" i="12"/>
  <c r="W52" i="12" s="1"/>
  <c r="U60" i="12"/>
  <c r="W60" i="12" s="1"/>
  <c r="U71" i="12"/>
  <c r="W71" i="12" s="1"/>
  <c r="U77" i="12"/>
  <c r="W77" i="12" s="1"/>
  <c r="U79" i="12"/>
  <c r="W79" i="12" s="1"/>
  <c r="V90" i="12"/>
  <c r="V92" i="12"/>
  <c r="X92" i="12" s="1"/>
  <c r="V95" i="12"/>
  <c r="X95" i="12" s="1"/>
  <c r="W141" i="12"/>
  <c r="X141" i="12" s="1"/>
  <c r="U28" i="12"/>
  <c r="W28" i="12" s="1"/>
  <c r="U51" i="12"/>
  <c r="W51" i="12" s="1"/>
  <c r="U64" i="12"/>
  <c r="W64" i="12" s="1"/>
  <c r="U66" i="12"/>
  <c r="W66" i="12" s="1"/>
  <c r="U70" i="12"/>
  <c r="W70" i="12" s="1"/>
  <c r="W90" i="12"/>
  <c r="V99" i="12"/>
  <c r="X99" i="12" s="1"/>
  <c r="V121" i="12"/>
  <c r="X121" i="12" s="1"/>
  <c r="V125" i="12"/>
  <c r="W125" i="12"/>
  <c r="U24" i="12"/>
  <c r="W24" i="12" s="1"/>
  <c r="U26" i="12"/>
  <c r="W26" i="12" s="1"/>
  <c r="U32" i="12"/>
  <c r="W32" i="12" s="1"/>
  <c r="U34" i="12"/>
  <c r="W34" i="12" s="1"/>
  <c r="U36" i="12"/>
  <c r="W36" i="12" s="1"/>
  <c r="U39" i="12"/>
  <c r="W39" i="12" s="1"/>
  <c r="U43" i="12"/>
  <c r="W43" i="12" s="1"/>
  <c r="U47" i="12"/>
  <c r="W47" i="12" s="1"/>
  <c r="U49" i="12"/>
  <c r="W49" i="12" s="1"/>
  <c r="U62" i="12"/>
  <c r="W62" i="12" s="1"/>
  <c r="V97" i="12"/>
  <c r="X97" i="12" s="1"/>
  <c r="V98" i="12"/>
  <c r="X98" i="12" s="1"/>
  <c r="V100" i="12"/>
  <c r="X100" i="12" s="1"/>
  <c r="V101" i="12"/>
  <c r="X101" i="12" s="1"/>
  <c r="V119" i="12"/>
  <c r="X119" i="12" s="1"/>
  <c r="V126" i="12"/>
  <c r="X126" i="12" s="1"/>
  <c r="V131" i="12"/>
  <c r="X131" i="12" s="1"/>
  <c r="F48" i="9" l="1"/>
  <c r="C78" i="9"/>
  <c r="J21" i="12"/>
  <c r="X90" i="12"/>
  <c r="X149" i="12"/>
  <c r="J90" i="12" s="1"/>
  <c r="H92" i="12" s="1"/>
  <c r="X181" i="12"/>
  <c r="J125" i="12" s="1"/>
  <c r="H127" i="12" s="1"/>
  <c r="J131" i="12" s="1"/>
  <c r="X125" i="12"/>
  <c r="W81" i="12"/>
  <c r="J55" i="12" s="1"/>
  <c r="H57" i="12" s="1"/>
  <c r="J61" i="12" s="1"/>
  <c r="H23" i="12"/>
  <c r="J27" i="12" s="1"/>
  <c r="X132" i="12" l="1"/>
  <c r="C75" i="9" l="1"/>
  <c r="A77" i="9"/>
  <c r="A76" i="9"/>
  <c r="F16" i="9" l="1"/>
  <c r="J12" i="9" l="1"/>
  <c r="E13" i="9" s="1"/>
  <c r="C76" i="9" s="1"/>
  <c r="C81" i="9" s="1"/>
  <c r="C87" i="9" l="1"/>
  <c r="C86" i="9"/>
  <c r="C85" i="9"/>
  <c r="I5" i="11"/>
  <c r="I6" i="11"/>
  <c r="I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tc={81763156-9CA0-4D61-8AE4-FA6B074461A6}</author>
  </authors>
  <commentList>
    <comment ref="C47" authorId="0" shapeId="0" xr:uid="{81763156-9CA0-4D61-8AE4-FA6B074461A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@Raquel Mejias Elizondo hablamos de no incluir lo compostado en el 2022 como reducción, si no, mencionar que se hicieron reparacion y pruebas. Esta explicacion se haria en el documento word, pero acá en el inventario, ¿qué ponemos?
Respuesta:
    @Maria Angelica Astorga Perez poner que por poco usoi de la compostera debido a reparación no se cuenta con un indicador de desempeño significativo. E igual, se puede poner el indicador de los kg compostados, aunque fueran 100 jaja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Hellen Patricia Chinchilla Guzman</author>
  </authors>
  <commentList>
    <comment ref="T51" authorId="0" shapeId="0" xr:uid="{50949446-9991-4A41-8F1E-E344DBD8B68E}">
      <text>
        <r>
          <rPr>
            <b/>
            <sz val="9"/>
            <color indexed="81"/>
            <rFont val="Tahoma"/>
            <family val="2"/>
          </rPr>
          <t>Hellen Patricia Chinchilla Guzman:</t>
        </r>
        <r>
          <rPr>
            <sz val="9"/>
            <color indexed="81"/>
            <rFont val="Tahoma"/>
            <family val="2"/>
          </rPr>
          <t xml:space="preserve">
AR-Regionzalización</t>
        </r>
      </text>
    </comment>
    <comment ref="T52" authorId="0" shapeId="0" xr:uid="{B923F8C4-A1A7-4A46-87BD-BD1050D57E72}">
      <text>
        <r>
          <rPr>
            <b/>
            <sz val="9"/>
            <color indexed="81"/>
            <rFont val="Tahoma"/>
            <family val="2"/>
          </rPr>
          <t>Hellen Patricia Chinchilla Guzman:</t>
        </r>
        <r>
          <rPr>
            <sz val="9"/>
            <color indexed="81"/>
            <rFont val="Tahoma"/>
            <family val="2"/>
          </rPr>
          <t xml:space="preserve">
VIESA-CEDA</t>
        </r>
      </text>
    </comment>
    <comment ref="Q115" authorId="0" shapeId="0" xr:uid="{8F13A36A-9211-4613-9097-0DE7459BDC03}">
      <text>
        <r>
          <rPr>
            <b/>
            <sz val="9"/>
            <color indexed="81"/>
            <rFont val="Tahoma"/>
            <family val="2"/>
          </rPr>
          <t>Hellen Patricia Chinchilla Guzman:</t>
        </r>
        <r>
          <rPr>
            <sz val="9"/>
            <color indexed="81"/>
            <rFont val="Tahoma"/>
            <family val="2"/>
          </rPr>
          <t xml:space="preserve">
7:30 a.m.</t>
        </r>
      </text>
    </comment>
    <comment ref="Q116" authorId="0" shapeId="0" xr:uid="{72541617-C070-4118-982C-99BE3521BEF0}">
      <text>
        <r>
          <rPr>
            <b/>
            <sz val="9"/>
            <color indexed="81"/>
            <rFont val="Tahoma"/>
            <family val="2"/>
          </rPr>
          <t>Hellen Patricia Chinchilla Guzman:</t>
        </r>
        <r>
          <rPr>
            <sz val="9"/>
            <color indexed="81"/>
            <rFont val="Tahoma"/>
            <family val="2"/>
          </rPr>
          <t xml:space="preserve">
12:00md</t>
        </r>
      </text>
    </comment>
  </commentList>
</comments>
</file>

<file path=xl/sharedStrings.xml><?xml version="1.0" encoding="utf-8"?>
<sst xmlns="http://schemas.openxmlformats.org/spreadsheetml/2006/main" count="916" uniqueCount="335">
  <si>
    <t>Fuentes</t>
  </si>
  <si>
    <t>Criterios</t>
  </si>
  <si>
    <t>Total</t>
  </si>
  <si>
    <t xml:space="preserve">Criterios </t>
  </si>
  <si>
    <t>Descripción</t>
  </si>
  <si>
    <t>Bajo (1)</t>
  </si>
  <si>
    <t>Medio (2)</t>
  </si>
  <si>
    <t>Alto (3)</t>
  </si>
  <si>
    <t xml:space="preserve">Fuente </t>
  </si>
  <si>
    <t>Categoría</t>
  </si>
  <si>
    <t>Subcategoría</t>
  </si>
  <si>
    <t>Magnitud</t>
  </si>
  <si>
    <t xml:space="preserve">Capacidad de involucramiento </t>
  </si>
  <si>
    <t xml:space="preserve">Relevancia de las actividades </t>
  </si>
  <si>
    <t>Acceso y trazabilidad de la información</t>
  </si>
  <si>
    <t>Porcentaje de emisión que representa con respecto al inventario total de emisiones consideradas dentro del alcance.</t>
  </si>
  <si>
    <t>Emisión representa del 0-30% del inventario</t>
  </si>
  <si>
    <t>Emisión representa del 31-60% del inventario</t>
  </si>
  <si>
    <t>Emisión representa del 61-100% del inventario</t>
  </si>
  <si>
    <t>Viajes aéreos</t>
  </si>
  <si>
    <t>Emisiones indirectas de GEI causadas por el transporte</t>
  </si>
  <si>
    <t>Emisiones causadas por viajes de negocios, debidas sobre todo al combustible consumido en fuentes móviles de combustión</t>
  </si>
  <si>
    <t xml:space="preserve">Capacidad en la que la institución puede solicitar a partes interesadas implementación de medidas que permitan la reducción de emisiones </t>
  </si>
  <si>
    <t>La institución no puede solicitar a ninguna las partes involucradas que ejecutan posibles acciones de reducción</t>
  </si>
  <si>
    <t>La institución puede solicitar a al menos una de las partes involucradas que ejecutan posibles acciones de reducción</t>
  </si>
  <si>
    <t>La institución puede solicitar a todas las partes involucradas que ejecutan posibles acciones de reducción</t>
  </si>
  <si>
    <t>Consumo de electricidad</t>
  </si>
  <si>
    <t>Emisiones indirectas de GEI causadas por energía importada</t>
  </si>
  <si>
    <t>Emisiones indirectas causadas por la electricidad importada, incluyendo las emisiones de GEI relacionadas con la producción y el consumo de la electricidad importada por la organización.</t>
  </si>
  <si>
    <r>
      <t xml:space="preserve">Emisiones indirectas resultantes de </t>
    </r>
    <r>
      <rPr>
        <b/>
        <sz val="12"/>
        <color theme="1"/>
        <rFont val="Franklin Gothic Book"/>
        <family val="2"/>
      </rPr>
      <t>actividades que</t>
    </r>
    <r>
      <rPr>
        <sz val="12"/>
        <color theme="1"/>
        <rFont val="Franklin Gothic Book"/>
        <family val="2"/>
      </rPr>
      <t xml:space="preserve"> </t>
    </r>
    <r>
      <rPr>
        <b/>
        <sz val="12"/>
        <color theme="1"/>
        <rFont val="Franklin Gothic Book"/>
        <family val="2"/>
      </rPr>
      <t xml:space="preserve">constituyen labores esenciales en el giro </t>
    </r>
    <r>
      <rPr>
        <sz val="12"/>
        <color theme="1"/>
        <rFont val="Franklin Gothic Book"/>
        <family val="2"/>
      </rPr>
      <t xml:space="preserve">del negocio </t>
    </r>
  </si>
  <si>
    <t>Emisiones a reducir provenientes de actividades no indispensables para el giro negocio</t>
  </si>
  <si>
    <t>Emisiones a reducir provenientes de actividades medianamente indispensables, podrían ser sustituidas o modificadas para no afectar el giro de negocio</t>
  </si>
  <si>
    <t>Emisiones a reducir provenientes de actividades indispensables para el giro de negocio</t>
  </si>
  <si>
    <t>Gestión de residuos sólidos ordinarios no valorizables en el relleno sanitario</t>
  </si>
  <si>
    <t>Emisiones indirectas de GEI causadas por productos que utiliza la organización</t>
  </si>
  <si>
    <t>Emisiones indirectas de GEI causadas por los servicios que utiliza la organización</t>
  </si>
  <si>
    <t>Acceso y trazabilidad de información</t>
  </si>
  <si>
    <r>
      <t>Los datos para el cálculo de las reducciones son de</t>
    </r>
    <r>
      <rPr>
        <b/>
        <sz val="12"/>
        <color theme="1"/>
        <rFont val="Franklin Gothic Book"/>
        <family val="2"/>
      </rPr>
      <t xml:space="preserve"> fácil acceso, confiables, con posibilidad de brindar trazabilidad </t>
    </r>
  </si>
  <si>
    <t xml:space="preserve">Es posible obtener los datos de fuentes secundarias pero es técnica y económicamente inviable </t>
  </si>
  <si>
    <t xml:space="preserve">Es posible obtener los datos de fuentes secundarias y es técnica y económicamente viable </t>
  </si>
  <si>
    <t>Los datos se pueden obtener de fuentes primarias de información</t>
  </si>
  <si>
    <t xml:space="preserve">Evaluación de la significancia </t>
  </si>
  <si>
    <t xml:space="preserve">Categoría </t>
  </si>
  <si>
    <t>Alta:10-12</t>
  </si>
  <si>
    <t>Se incluye como emisión indirecta a contemplar dentro del plan de gestión de las reducciones</t>
  </si>
  <si>
    <t>Media:7-9</t>
  </si>
  <si>
    <t>Posible inclusión futura en el plan de gestión de las reducciones</t>
  </si>
  <si>
    <t>Baja: 4-6</t>
  </si>
  <si>
    <t>Se excluye del plan de gestión de las reducciones</t>
  </si>
  <si>
    <t>PLAN DE REDUCCIONES 2021-2022</t>
  </si>
  <si>
    <t xml:space="preserve">PROYECTOS A CORTO PLAZO </t>
  </si>
  <si>
    <t>Sub categoría</t>
  </si>
  <si>
    <t>Objetivo</t>
  </si>
  <si>
    <t>Tipo</t>
  </si>
  <si>
    <t>Meta</t>
  </si>
  <si>
    <t>Proyecto</t>
  </si>
  <si>
    <t>Actividades</t>
  </si>
  <si>
    <t>Responsables</t>
  </si>
  <si>
    <t>Indicadores de seguimiento</t>
  </si>
  <si>
    <t>Medios de control</t>
  </si>
  <si>
    <t>Recursos</t>
  </si>
  <si>
    <t>Vinculación con NDC</t>
  </si>
  <si>
    <t>Metodología de cuantificación</t>
  </si>
  <si>
    <t>Supuestos</t>
  </si>
  <si>
    <t>Periodo de Cumplimiento</t>
  </si>
  <si>
    <t>Trimestres 2022</t>
  </si>
  <si>
    <t>I</t>
  </si>
  <si>
    <t>II</t>
  </si>
  <si>
    <t>III</t>
  </si>
  <si>
    <t>IV</t>
  </si>
  <si>
    <r>
      <rPr>
        <sz val="12"/>
        <color rgb="FF000000"/>
        <rFont val="Franklin Gothic Book"/>
        <family val="2"/>
      </rPr>
      <t>Reducir 20 T CO</t>
    </r>
    <r>
      <rPr>
        <vertAlign val="subscript"/>
        <sz val="12"/>
        <color rgb="FF000000"/>
        <rFont val="Franklin Gothic Book"/>
        <family val="2"/>
      </rPr>
      <t>2</t>
    </r>
    <r>
      <rPr>
        <sz val="12"/>
        <color rgb="FF000000"/>
        <rFont val="Franklin Gothic Book"/>
        <family val="2"/>
      </rPr>
      <t>e debido al uso de energía eléctrica</t>
    </r>
  </si>
  <si>
    <t>Absoluta</t>
  </si>
  <si>
    <r>
      <t>Reducir 20 T de CO</t>
    </r>
    <r>
      <rPr>
        <vertAlign val="subscript"/>
        <sz val="12"/>
        <rFont val="Franklin Gothic Book"/>
        <family val="2"/>
      </rPr>
      <t>2</t>
    </r>
    <r>
      <rPr>
        <sz val="12"/>
        <rFont val="Franklin Gothic Book"/>
        <family val="2"/>
      </rPr>
      <t xml:space="preserve">e al 2022 </t>
    </r>
  </si>
  <si>
    <r>
      <t xml:space="preserve">Desde el </t>
    </r>
    <r>
      <rPr>
        <sz val="12"/>
        <rFont val="Franklin Gothic Book"/>
        <family val="2"/>
      </rPr>
      <t xml:space="preserve">2017 </t>
    </r>
    <r>
      <rPr>
        <sz val="12"/>
        <color theme="1"/>
        <rFont val="Franklin Gothic Book"/>
        <family val="2"/>
      </rPr>
      <t>la Universidad inició la instalación de paneles solares para después iniciar la construcción del Complejo Solar TEC. La operación del Complejo Solar ha sido por etapas, por lo que no todos los inversores han estado conectados a la vez. La operación completa se espera para el 2023.</t>
    </r>
  </si>
  <si>
    <t>Dar seguimiento a la operación del Complejo Solar TEC</t>
  </si>
  <si>
    <t>Ing. Carlos Segura, SESLab</t>
  </si>
  <si>
    <t>Inversión o desarrollo de mejoras</t>
  </si>
  <si>
    <t>Se da seguimiento a los proyectos de reducción en las reuniones semanales del equipo de trabajo de Gestión Ambiental de la Unidad de Gestión Ambiental y Seguridad Laboral, en las cuales una sección de la agenda es sobre carbono neutralidad.</t>
  </si>
  <si>
    <t>3. Energía</t>
  </si>
  <si>
    <t>El Laboratorio de Sistemas Electrónicos para la Sostenibilidad (SESLab) se encarga de cuantificar la generación de energía mediante paneles solares en al Campus. Se asume que la energía generada por el Complejo Solar TEC representa emisiones evitadas según el factor de emisión correspondiente al periodo en estudio publicado por el Instituto Meteorológico Nacional. La generación de energía se mide mediante los inversores. El cálculo de las potenciales emisiones a reducir se realiza asumiendo el 100% de la generación.</t>
  </si>
  <si>
    <t>Se supone que la información brindada de generación de energía por inversor por el SESLab es fidedigna.</t>
  </si>
  <si>
    <t>X</t>
  </si>
  <si>
    <t>Reportar la generación del Complejo Solar TEC</t>
  </si>
  <si>
    <t>kWh generados por un periodo de tiempo</t>
  </si>
  <si>
    <t>Emisiones y remociones directas de GEI</t>
  </si>
  <si>
    <t>Emisiones fugitivas directas causadas por la liberación de GEI en sistemas antropogénicos</t>
  </si>
  <si>
    <t>Reducir 4 T CO2e debido a la gestión de residuos orgánicos.</t>
  </si>
  <si>
    <r>
      <rPr>
        <sz val="12"/>
        <color rgb="FF000000"/>
        <rFont val="Franklin Gothic Book"/>
        <family val="2"/>
      </rPr>
      <t>Reducir 1 T CO</t>
    </r>
    <r>
      <rPr>
        <vertAlign val="subscript"/>
        <sz val="12"/>
        <color rgb="FF000000"/>
        <rFont val="Franklin Gothic Book"/>
        <family val="2"/>
      </rPr>
      <t>2</t>
    </r>
    <r>
      <rPr>
        <sz val="12"/>
        <color rgb="FF000000"/>
        <rFont val="Franklin Gothic Book"/>
        <family val="2"/>
      </rPr>
      <t>e durante el 2022 debido al compostaje de residuos orgánicos.</t>
    </r>
  </si>
  <si>
    <r>
      <rPr>
        <sz val="12"/>
        <color rgb="FF000000"/>
        <rFont val="Franklin Gothic Book"/>
        <family val="2"/>
      </rPr>
      <t>La Unidad de Gestión Ambiental y Seguridad Laboral cuenta con el Programa de Manejo de Residuos Institucionales, el cuál desde finales del 2020 adquirió una compostera automatizada para gestionar los residuos orgánicos de las Residencias Estudiantiles y el Restaurante Institucional. Durante el 2020 debido a la emergencia nacional sanitaria por COVID-19 se redujo la cantidad de residuos orgánicos por lo que la compostera no se utilizó.</t>
    </r>
    <r>
      <rPr>
        <b/>
        <sz val="12"/>
        <color rgb="FFFF0000"/>
        <rFont val="Franklin Gothic Book"/>
        <family val="2"/>
      </rPr>
      <t xml:space="preserve"> </t>
    </r>
    <r>
      <rPr>
        <sz val="12"/>
        <color rgb="FF000000"/>
        <rFont val="Franklin Gothic Book"/>
        <family val="2"/>
      </rPr>
      <t>Durante el 2021 la compostera ha presentado errores de programación y fábrica, por lo que se mantuvo realizando pruebas que es el valor de residuos orgánicos compostados que se reporta, sin embargo, no estuvo operando según las necesidades de gestión de residuos de la Universidad. Durante el 2021 como parte del seguimiento para corregir las situaciones presentadas se logró trabajar cierta cantidad de residuos el tiempo que se pudo.</t>
    </r>
  </si>
  <si>
    <t>Dar seguimiento a la gestión de los residuos orgánicos (recolección, transporte, compostaje)</t>
  </si>
  <si>
    <t>Ing. Raquel Mejías, GASEL</t>
  </si>
  <si>
    <t>Contrataciones</t>
  </si>
  <si>
    <t>6. Gestión Integrada de Residuos</t>
  </si>
  <si>
    <t>Las reducciones debido al compostaje de residuos orgánicos se realiza comparando las emisiones de dos escenarios: uno en el que la cantidad de residuos orgánicos se gestiona mediante relleno sanitario y otro en el que esa misma cantidad de residuos orgánicos se gestiona mediante compostaje. La diferencia de emisiones se considera la reducción.</t>
  </si>
  <si>
    <t>Reportar la cantidad de residuos orgánicos compostados</t>
  </si>
  <si>
    <t>Jhonny Granados, Operador, MADI</t>
  </si>
  <si>
    <t>kg de residuos orgánicos compostados por un periodo de tiempo</t>
  </si>
  <si>
    <t>Contratación de transporte, compra de contenedores, recurso humano para capacitación y operación de la compostera, reparaciones, otros.</t>
  </si>
  <si>
    <t xml:space="preserve">PROYECTOS A MEDIANO PLAZO </t>
  </si>
  <si>
    <t>Trimestres 2023</t>
  </si>
  <si>
    <r>
      <rPr>
        <sz val="12"/>
        <color rgb="FF000000"/>
        <rFont val="Franklin Gothic Book"/>
        <family val="2"/>
      </rPr>
      <t>Reducir  1 T CO</t>
    </r>
    <r>
      <rPr>
        <vertAlign val="subscript"/>
        <sz val="12"/>
        <color rgb="FF000000"/>
        <rFont val="Franklin Gothic Book"/>
        <family val="2"/>
      </rPr>
      <t>2</t>
    </r>
    <r>
      <rPr>
        <sz val="12"/>
        <color rgb="FF000000"/>
        <rFont val="Franklin Gothic Book"/>
        <family val="2"/>
      </rPr>
      <t>e debido a la sustitución de luminarias en las carreteras, aceras y pasillos.</t>
    </r>
  </si>
  <si>
    <r>
      <rPr>
        <sz val="12"/>
        <color rgb="FF000000"/>
        <rFont val="Franklin Gothic Book"/>
        <family val="2"/>
      </rPr>
      <t>Reducir 1 T CO</t>
    </r>
    <r>
      <rPr>
        <vertAlign val="subscript"/>
        <sz val="12"/>
        <color rgb="FF000000"/>
        <rFont val="Franklin Gothic Book"/>
        <family val="2"/>
      </rPr>
      <t>2</t>
    </r>
    <r>
      <rPr>
        <sz val="12"/>
        <color rgb="FF000000"/>
        <rFont val="Franklin Gothic Book"/>
        <family val="2"/>
      </rPr>
      <t>e durante el 2022 debido a la sustitución de luminarias en carreteras, aceras y pasillos.</t>
    </r>
  </si>
  <si>
    <t>El Departamento de Administración de Mantenimiento realizará la sustitución de algunas luminarias en pasillos, carreteras y aceras por luminarias más eficientes.</t>
  </si>
  <si>
    <t>Realizar la sustitución de luminarias en aceras, pasillos y carreteras.</t>
  </si>
  <si>
    <t>Marlon Cordero, Departamento de Administración de Mantenimiento</t>
  </si>
  <si>
    <t>Potencia (kW) y eficiencia de las luminarias a sustituir y de las que sirven como reemplazo.
Horas de uso de las luminarias</t>
  </si>
  <si>
    <t>PENDIENTE DATO DEL DAM</t>
  </si>
  <si>
    <t>Las reducciones debido a la sustitución de luminarias por otras más eficientes, se estiman realizando la comparación de dos escenarios: uno haciendo uso de las luminarias que se están eliminando y otro haciendo uso de las luminarias que se están instalando. La diferencia de emisiones se considera la reducción. Para el uso es necesario considerar las fechas en las que se realizó la sustitución.</t>
  </si>
  <si>
    <t>Combustión móvil</t>
  </si>
  <si>
    <r>
      <rPr>
        <sz val="12"/>
        <color rgb="FF000000"/>
        <rFont val="Franklin Gothic Book"/>
        <family val="2"/>
      </rPr>
      <t>Reducir al menos 0,1 T CO</t>
    </r>
    <r>
      <rPr>
        <vertAlign val="subscript"/>
        <sz val="12"/>
        <color rgb="FF000000"/>
        <rFont val="Franklin Gothic Book"/>
        <family val="2"/>
      </rPr>
      <t>2</t>
    </r>
    <r>
      <rPr>
        <sz val="12"/>
        <color rgb="FF000000"/>
        <rFont val="Franklin Gothic Book"/>
        <family val="2"/>
      </rPr>
      <t>e debido al uso de bicicletas eléctricas en los recorridos de los oficiales de la Unidad de Seguridad y Vigilancia.</t>
    </r>
  </si>
  <si>
    <r>
      <rPr>
        <sz val="12"/>
        <color rgb="FF000000"/>
        <rFont val="Franklin Gothic Book"/>
        <family val="2"/>
      </rPr>
      <t>Reducir al menos 0,1 T CO</t>
    </r>
    <r>
      <rPr>
        <vertAlign val="subscript"/>
        <sz val="12"/>
        <color rgb="FF000000"/>
        <rFont val="Franklin Gothic Book"/>
        <family val="2"/>
      </rPr>
      <t>2</t>
    </r>
    <r>
      <rPr>
        <sz val="12"/>
        <color rgb="FF000000"/>
        <rFont val="Franklin Gothic Book"/>
        <family val="2"/>
      </rPr>
      <t>e durante el 2022 debido a la adquisición de bicicletas eléctricas para los recorridos de los oficiales de la Unidad de Seguridad y Vigilancia.</t>
    </r>
  </si>
  <si>
    <r>
      <rPr>
        <sz val="12"/>
        <color rgb="FF000000"/>
        <rFont val="Franklin Gothic Book"/>
        <family val="2"/>
      </rPr>
      <t>La Unidad de Gestión Ambiental y Seguridad Laboral adquirió bicicletas eléctricas para la movilidad de algunos puestos o funcionarios dentro de la Universidad. La Unidad de Seguridad y Vigilancia cuenta con</t>
    </r>
    <r>
      <rPr>
        <b/>
        <sz val="12"/>
        <color rgb="FF000000"/>
        <rFont val="Franklin Gothic Book"/>
        <family val="2"/>
      </rPr>
      <t xml:space="preserve"> </t>
    </r>
    <r>
      <rPr>
        <sz val="12"/>
        <color rgb="FF000000"/>
        <rFont val="Franklin Gothic Book"/>
        <family val="2"/>
      </rPr>
      <t xml:space="preserve">bicicletas que utiliza en los recorridos diarios dentro de las instalaciones de la Universidad, los cuáles previamente se realizaban en motocicletas. </t>
    </r>
  </si>
  <si>
    <t xml:space="preserve">Utilizar las bicicletas eléctricas para los recorridos </t>
  </si>
  <si>
    <t>Oficiales de la Unidad de Seguridad y Vigilancia</t>
  </si>
  <si>
    <t>Kilómetros recorridos</t>
  </si>
  <si>
    <t>1. Movilidad y Transporte</t>
  </si>
  <si>
    <t>Las reducciones debido al uso de las bicicletas eléctricas en los recorridos de los oficiales de la Unidad de Seguridad y Vigilancia, se estiman realizando la comparación de dos escenarios: uno recorriendo cierta cantidad de kilómetros en una motocicleta y el otro recorriendo esa misma cantidad de kilómetros en la bicicleta eléctrica. Los kilómetros recorridos se tomarán de odómetros de las bicicletas y para el primer escenario se considerará el rendimiento de las motocicletas que tiene actualmente la Unidad de Seguridad y Vigilancia.</t>
  </si>
  <si>
    <t xml:space="preserve">PROYECTOS A LARGO PLAZO </t>
  </si>
  <si>
    <t>Proyecto: Complejo Solar TEC</t>
  </si>
  <si>
    <t>Metodología</t>
  </si>
  <si>
    <t xml:space="preserve">Evidencia de los recursos </t>
  </si>
  <si>
    <t xml:space="preserve">El Laboratorio de Sistemas Electrónicos para la Sostenibilidad (SESLab) se encarga de cuantificar la generación de energía mediante paneles solares en al Campus. Se asume que la energía generada por el Complejo Solar TEC representa emisiones evitadas según el factor de emisión correspondiente al periodo en estudio publicado por el Instituto Meteorológico Nacional. La energía generada se estima mediante la diferencia entre lecturas del total generado por los inversores. </t>
  </si>
  <si>
    <t>El SESLab ha dado seguimiento a la operación y mantenimiento del complejo solar, incluyendo la automatización de indicadores de generación de energía y huella de carbono.</t>
  </si>
  <si>
    <t>Justificación de metodología</t>
  </si>
  <si>
    <t xml:space="preserve">Supuestos </t>
  </si>
  <si>
    <t>Cálculos</t>
  </si>
  <si>
    <t xml:space="preserve">Se empleó dicha metodología debido a que se cuenta con medidores que permiten conocer la cantidad de energía generada. </t>
  </si>
  <si>
    <t xml:space="preserve">Se supone que el proyecto durante el 2022 se mantuvo en crecimiento. Lo anterior debido a que el Complejo aún no se encuentra operando al 100%, se realizaron gestiones que permitieron mejorar eficiencia. </t>
  </si>
  <si>
    <t>Generación</t>
  </si>
  <si>
    <t>kWh</t>
  </si>
  <si>
    <t>Factor de emisión</t>
  </si>
  <si>
    <r>
      <t>kg CO</t>
    </r>
    <r>
      <rPr>
        <vertAlign val="subscript"/>
        <sz val="12"/>
        <rFont val="Franklin Gothic Book"/>
        <family val="2"/>
      </rPr>
      <t>2</t>
    </r>
    <r>
      <rPr>
        <sz val="12"/>
        <rFont val="Franklin Gothic Book"/>
        <family val="2"/>
      </rPr>
      <t>e/kWh</t>
    </r>
  </si>
  <si>
    <t>Reducción</t>
  </si>
  <si>
    <r>
      <t>kg CO</t>
    </r>
    <r>
      <rPr>
        <vertAlign val="subscript"/>
        <sz val="12"/>
        <rFont val="Franklin Gothic Book"/>
        <family val="2"/>
      </rPr>
      <t>2</t>
    </r>
    <r>
      <rPr>
        <sz val="12"/>
        <rFont val="Franklin Gothic Book"/>
        <family val="2"/>
      </rPr>
      <t>e</t>
    </r>
  </si>
  <si>
    <t>Periodo escogido para medir la reducción</t>
  </si>
  <si>
    <r>
      <t>t CO2</t>
    </r>
    <r>
      <rPr>
        <b/>
        <vertAlign val="subscript"/>
        <sz val="12"/>
        <color theme="0"/>
        <rFont val="Franklin Gothic Book"/>
        <family val="2"/>
      </rPr>
      <t>eq</t>
    </r>
    <r>
      <rPr>
        <b/>
        <sz val="12"/>
        <color theme="0"/>
        <rFont val="Franklin Gothic Book"/>
        <family val="2"/>
      </rPr>
      <t xml:space="preserve"> reducidas en el periodo</t>
    </r>
  </si>
  <si>
    <r>
      <t>T CO</t>
    </r>
    <r>
      <rPr>
        <vertAlign val="subscript"/>
        <sz val="12"/>
        <rFont val="Franklin Gothic Book"/>
        <family val="2"/>
      </rPr>
      <t>2</t>
    </r>
    <r>
      <rPr>
        <sz val="12"/>
        <rFont val="Franklin Gothic Book"/>
        <family val="2"/>
      </rPr>
      <t>e</t>
    </r>
  </si>
  <si>
    <t>Indicadores de desempeño</t>
  </si>
  <si>
    <t>Generación por año</t>
  </si>
  <si>
    <t>Proyecto: Recorridos en bicicletas eléctricas.</t>
  </si>
  <si>
    <t xml:space="preserve">Las reducciones debido al uso de las bicicletas eléctricas en vez de motos  se realiza comparando las emisiones que se generan al utilizar las bicicletas cuando se cargan versus las emisiones que se generarían si ese recorrido se hubiera hecho utilizando motocicletas. Las reducciones se calculan restando el valor de emisiones si se hubiran usado las motos menos el valor de las emisiones que se generan al cargar las bicicletas.
</t>
  </si>
  <si>
    <r>
      <rPr>
        <sz val="12"/>
        <color rgb="FF000000"/>
        <rFont val="Franklin Gothic Book"/>
        <family val="2"/>
      </rPr>
      <t xml:space="preserve">El equipo de compostaje tuvo un costo de 6683000  millones de colones.  El recurso para el proyecto ha sido asumido por la Vicerrectoría de Administración y la GASEL.
</t>
    </r>
    <r>
      <rPr>
        <b/>
        <sz val="12"/>
        <color rgb="FF000000"/>
        <rFont val="Franklin Gothic Book"/>
        <family val="2"/>
      </rPr>
      <t>Ver hoja</t>
    </r>
    <r>
      <rPr>
        <sz val="12"/>
        <color rgb="FF000000"/>
        <rFont val="Franklin Gothic Book"/>
        <family val="2"/>
      </rPr>
      <t xml:space="preserve"> "Bicicletas" de este documento.
</t>
    </r>
    <r>
      <rPr>
        <b/>
        <sz val="12"/>
        <color rgb="FF000000"/>
        <rFont val="Franklin Gothic Book"/>
        <family val="2"/>
      </rPr>
      <t>Evidencias:</t>
    </r>
    <r>
      <rPr>
        <sz val="12"/>
        <color rgb="FF000000"/>
        <rFont val="Franklin Gothic Book"/>
        <family val="2"/>
      </rPr>
      <t xml:space="preserve"> https://tecnube1-my.sharepoint.com/:f:/g/personal/ga_itcr_ac_cr/EqDxPiho139JvJ7KwNuk6TUBI67YhSDFFnn1ZSO8ev3lZQ?e=oQDGaK</t>
    </r>
  </si>
  <si>
    <t xml:space="preserve">Se empleó dicha metodología debido a que se cuenta con los datos del GPS de cada bicicleta que permiten conocer la cantidad de kilómetros recorridos. </t>
  </si>
  <si>
    <t>Se supone que la batería dura 6h cargando. Se asume una autonomía promedio de 42,5 km. Se asume caracterísitcas similares a ficha técnica encontrada.</t>
  </si>
  <si>
    <t>Emisiones por uso de las bicis</t>
  </si>
  <si>
    <t>Emisiones de CO2e (kg)</t>
  </si>
  <si>
    <t>Emisiones evitadas en las motos</t>
  </si>
  <si>
    <t>Consumo combustible si viaje hubiera sido en motos (L)</t>
  </si>
  <si>
    <r>
      <t>t CO</t>
    </r>
    <r>
      <rPr>
        <b/>
        <vertAlign val="subscript"/>
        <sz val="12"/>
        <color theme="0"/>
        <rFont val="Franklin Gothic Book"/>
        <family val="2"/>
      </rPr>
      <t>2</t>
    </r>
    <r>
      <rPr>
        <b/>
        <sz val="12"/>
        <color theme="0"/>
        <rFont val="Franklin Gothic Book"/>
        <family val="2"/>
      </rPr>
      <t>e reducidas en el periodo</t>
    </r>
  </si>
  <si>
    <t>Emisiones de CO2 e (kg)</t>
  </si>
  <si>
    <t>Reducciones</t>
  </si>
  <si>
    <t>kg CO2 eq</t>
  </si>
  <si>
    <t>Km recorridos por las bicicletas/año</t>
  </si>
  <si>
    <t>km</t>
  </si>
  <si>
    <t>Proyecto: Sustitución de luminarias</t>
  </si>
  <si>
    <t xml:space="preserve">Las reducciones debido al cambio de lumnarias se realizan comparando las emisiones de dos escenarios: uno en el que se calcula el consumo de kWh utilizando las luminarias anteriores y  otro en que se calcula el consumo de kWh con las nuevas lumnarias, por la misma cantidad de tiempo en ambos escenarios. La diferencia de emisiones se considera la reducción. </t>
  </si>
  <si>
    <t>El recurso para el proyecto ha sido asumido por la Vicerrectoría de Administración quien proporciona los recursos. Además, el cambio de lumnarias está a cargo del Departamento de Mantenimiento (DAM). 
Evidencia se encuentra en: https://tecnube1-my.sharepoint.com/:f:/g/personal/ga_itcr_ac_cr/EhM6UXmNaiFAhTlIXtxVel4B72O3G5N0y-ZKpcvYpTPn0A?e=33mFHM</t>
  </si>
  <si>
    <t>Se empleó dicha metodología debido a que se cuenta con los valores técnicos de consumo y de uso de las luminarias que permiten estimar las emisiones evitadas.</t>
  </si>
  <si>
    <t xml:space="preserve">Se supone que el las horas de uso se mantienen y no varían con los años. </t>
  </si>
  <si>
    <t xml:space="preserve">Resultado </t>
  </si>
  <si>
    <t>Ahorro (kWh/2022)</t>
  </si>
  <si>
    <t>100 luminarias de 240 W poe 108 W</t>
  </si>
  <si>
    <t>25 luminarias de 295 W a 108 W</t>
  </si>
  <si>
    <t>Total (kWh octubre-Diciembre)</t>
  </si>
  <si>
    <t>Reducción total (KWh)</t>
  </si>
  <si>
    <t>Cambio de luminarias (kWh)</t>
  </si>
  <si>
    <t>Factor emisión (kg CO2 e/kWh)</t>
  </si>
  <si>
    <t>Reducción total (t CO2e)</t>
  </si>
  <si>
    <t>Proyecto: Compostaje de residuos orgánicos en el Restaurante Institucional y las Residencias Estudiantiles</t>
  </si>
  <si>
    <t xml:space="preserve">Las reducciones debido al cambio de lumnarias se realiza comparando las emisiones de dos escenarios: uno en el que la cantidad de residuos orgánicos se gestiona mediante relleno sanitario y otro en el que esa misma cantidad de residuos orgánicos se gestiona mediante compostaje. La diferencia de emisiones se considera la reducción. </t>
  </si>
  <si>
    <r>
      <rPr>
        <sz val="12"/>
        <color rgb="FF000000"/>
        <rFont val="Franklin Gothic Book"/>
        <family val="2"/>
      </rPr>
      <t xml:space="preserve">El equipo de compostaje tuvo un costo de 25 millones de colones. Además, para el desarrollo del proyecto es necesario recurso humano para capacitar en la correcta separación de residuos, segregar los desechos, trasladarlos, triturarlos y compostarlos. El recurso para el proyecto ha sido asumido por la Vicerrectoría de Administración y la GASEL.
</t>
    </r>
    <r>
      <rPr>
        <b/>
        <sz val="12"/>
        <color rgb="FF000000"/>
        <rFont val="Franklin Gothic Book"/>
        <family val="2"/>
      </rPr>
      <t>Evidencias:</t>
    </r>
    <r>
      <rPr>
        <sz val="12"/>
        <color rgb="FF000000"/>
        <rFont val="Franklin Gothic Book"/>
        <family val="2"/>
      </rPr>
      <t xml:space="preserve"> https://tecnube1-my.sharepoint.com/:f:/g/personal/ga_itcr_ac_cr/EusBmkAFB4pMuZ1ewCq0kigBDgqQS3RbS3uXD7lUf_HxvA?e=id3xWB</t>
    </r>
  </si>
  <si>
    <t>Esta metodología se emplea con el fin de estimar las emisiones evitadas, ya que debido al comportamiento atípico de la Universidad por la modalidad virtual, no es posible tener una línea base estable y significativa que permita demostrar reducciones mediante la diferencia en la cantidad de kilogramos de residuos enviados al relleno sanitario.</t>
  </si>
  <si>
    <t>Se supone que el dato de la cantidad de residuos orgánicos compostados reportado por el operador del centro de acopio es correcto.</t>
  </si>
  <si>
    <t>Residuos compostados</t>
  </si>
  <si>
    <t>kg</t>
  </si>
  <si>
    <t xml:space="preserve">Factor de emisión </t>
  </si>
  <si>
    <t>Compostaje</t>
  </si>
  <si>
    <r>
      <t>kg CH</t>
    </r>
    <r>
      <rPr>
        <vertAlign val="subscript"/>
        <sz val="12"/>
        <color theme="1"/>
        <rFont val="Franklin Gothic Book"/>
        <family val="2"/>
      </rPr>
      <t>4</t>
    </r>
    <r>
      <rPr>
        <sz val="12"/>
        <color theme="1"/>
        <rFont val="Franklin Gothic Book"/>
        <family val="2"/>
      </rPr>
      <t>/kg residuos</t>
    </r>
  </si>
  <si>
    <r>
      <t>kg N</t>
    </r>
    <r>
      <rPr>
        <vertAlign val="subscript"/>
        <sz val="12"/>
        <color theme="1"/>
        <rFont val="Franklin Gothic Book"/>
        <family val="2"/>
      </rPr>
      <t>2</t>
    </r>
    <r>
      <rPr>
        <sz val="12"/>
        <color theme="1"/>
        <rFont val="Franklin Gothic Book"/>
        <family val="2"/>
      </rPr>
      <t>O/kg residuos</t>
    </r>
  </si>
  <si>
    <t>Relleno sanitario</t>
  </si>
  <si>
    <t>Emisiones</t>
  </si>
  <si>
    <t>Compostaje (kg CO2E)</t>
  </si>
  <si>
    <r>
      <t>kg CO</t>
    </r>
    <r>
      <rPr>
        <vertAlign val="subscript"/>
        <sz val="12"/>
        <color theme="1"/>
        <rFont val="Franklin Gothic Book"/>
        <family val="2"/>
      </rPr>
      <t>2</t>
    </r>
    <r>
      <rPr>
        <sz val="12"/>
        <color theme="1"/>
        <rFont val="Franklin Gothic Book"/>
        <family val="2"/>
      </rPr>
      <t>e</t>
    </r>
  </si>
  <si>
    <t xml:space="preserve">Residuos orgánicos gestionados </t>
  </si>
  <si>
    <t>Total de reducciones</t>
  </si>
  <si>
    <t>Proyecto: cambio iluminación</t>
  </si>
  <si>
    <t>Proyecto: compostaje de orgánicos</t>
  </si>
  <si>
    <t>Proyecto: Viajes compartidos</t>
  </si>
  <si>
    <t>Total de reducciones (t CO2e)</t>
  </si>
  <si>
    <t>Desempeño</t>
  </si>
  <si>
    <t>Población</t>
  </si>
  <si>
    <t>Coeficiente productividad (emisiones/funcionarios/estudiantes)</t>
  </si>
  <si>
    <t>Estudiantes</t>
  </si>
  <si>
    <t>Funcionarios</t>
  </si>
  <si>
    <t>Directriz de viajes compartidos</t>
  </si>
  <si>
    <t>Registro de viajes compartidos 2022</t>
  </si>
  <si>
    <t>Medios Reales</t>
  </si>
  <si>
    <t>Las reducciones debido a la implementación de la directriz de auto compartido en la Unidad de Transportes se cuantifican con la colaboración del coordinador de la Unidad de Transportes, quien copiará a la regente ambiental en los correos enviados a los viajantes acerca de los viajes compartidos, para de esta forma comparar las emisiones de dióxido de carbono equivalente generadas en el viaje compartido y las que se habrían generado de hacer viajes separados. La comparación se hara con el rendimiento del vehículo utilizado en litros de combustible por kilómetro, este rendimiento se calcula a partir de los datos de consumo de combustible y kilometraje de los últimos 6 meses del año, se asume que los valores alejados del promedio se eiliminan por erorres en los kilometrajes. Además se supone que en caso de hacer viajes separados se usaría el mismo vehículo para ambos viajes. Para los casos donde no se indique la cantidad de dependencias que comparten viaje, se asume un valor mínimo de 2 dependencias. Los kilometros por viaje se aproximarán mediante la aplicación WAZE o similar, en caso de haber más de una ruta probable se promedia la distancia.</t>
  </si>
  <si>
    <t>La Institución cuenta con una Unidad de Transportes comprometida en la reducción del consumo de combustible y una mejora en la eficiencia de este departamento. La Vicerrectoría de Administración apoya las directrices que contribuyan a la reducción de emisiones de gases con efecto invernadero</t>
  </si>
  <si>
    <t>N° de viaje</t>
  </si>
  <si>
    <t>Fecha</t>
  </si>
  <si>
    <t>Salida</t>
  </si>
  <si>
    <t>Destino</t>
  </si>
  <si>
    <t>Placa</t>
  </si>
  <si>
    <r>
      <t>Emisiones del vehículo (kgCO</t>
    </r>
    <r>
      <rPr>
        <vertAlign val="subscript"/>
        <sz val="12"/>
        <color theme="1"/>
        <rFont val="Times New Roman"/>
        <family val="1"/>
      </rPr>
      <t>2</t>
    </r>
    <r>
      <rPr>
        <sz val="12"/>
        <color theme="1"/>
        <rFont val="Times New Roman"/>
        <family val="1"/>
      </rPr>
      <t>/km)</t>
    </r>
  </si>
  <si>
    <t>kilómetros recorridos (km)</t>
  </si>
  <si>
    <t>Cantidad de viajes compartidos</t>
  </si>
  <si>
    <r>
      <t>Emisiones sin compartir (kgCO</t>
    </r>
    <r>
      <rPr>
        <vertAlign val="subscript"/>
        <sz val="12"/>
        <color theme="1"/>
        <rFont val="Times New Roman"/>
        <family val="1"/>
      </rPr>
      <t>2</t>
    </r>
    <r>
      <rPr>
        <sz val="12"/>
        <color theme="1"/>
        <rFont val="Times New Roman"/>
        <family val="1"/>
      </rPr>
      <t>/viaje)</t>
    </r>
  </si>
  <si>
    <r>
      <t>Emisiones compartiendo (kgCO</t>
    </r>
    <r>
      <rPr>
        <vertAlign val="subscript"/>
        <sz val="12"/>
        <color theme="1"/>
        <rFont val="Times New Roman"/>
        <family val="1"/>
      </rPr>
      <t>2</t>
    </r>
    <r>
      <rPr>
        <sz val="12"/>
        <color theme="1"/>
        <rFont val="Times New Roman"/>
        <family val="1"/>
      </rPr>
      <t>/viaje)</t>
    </r>
  </si>
  <si>
    <r>
      <t>Emisiones evitadas (kgCO</t>
    </r>
    <r>
      <rPr>
        <vertAlign val="subscript"/>
        <sz val="12"/>
        <color theme="1"/>
        <rFont val="Times New Roman"/>
        <family val="1"/>
      </rPr>
      <t>2</t>
    </r>
    <r>
      <rPr>
        <sz val="12"/>
        <color theme="1"/>
        <rFont val="Times New Roman"/>
        <family val="1"/>
      </rPr>
      <t>/viaje)</t>
    </r>
  </si>
  <si>
    <t>TEC</t>
  </si>
  <si>
    <t>CONARE</t>
  </si>
  <si>
    <t>SAN CARLOS</t>
  </si>
  <si>
    <t>Justificación</t>
  </si>
  <si>
    <t>La cuantificación de la reducción de emisiones debido al consumo de combustible por la directriz de auto compartido en la Unidad de Transportes se realiza con la metodología mencionada debido a que por la naturaleza de la Institución y su constante crecimiento es poco probable notar una reducción significativa en el total de consumo de combustible</t>
  </si>
  <si>
    <t>Viajes Compartidos</t>
  </si>
  <si>
    <t>CONARE - CENAT</t>
  </si>
  <si>
    <t>Cantidad</t>
  </si>
  <si>
    <t>Unidad</t>
  </si>
  <si>
    <t>Emisiones reducidas</t>
  </si>
  <si>
    <t>viajes compartidos/año</t>
  </si>
  <si>
    <r>
      <t>kg CO</t>
    </r>
    <r>
      <rPr>
        <vertAlign val="subscript"/>
        <sz val="12"/>
        <color theme="1"/>
        <rFont val="Times New Roman"/>
        <family val="1"/>
      </rPr>
      <t>2</t>
    </r>
    <r>
      <rPr>
        <sz val="12"/>
        <color theme="1"/>
        <rFont val="Times New Roman"/>
        <family val="1"/>
      </rPr>
      <t>/año</t>
    </r>
  </si>
  <si>
    <t>CASJ</t>
  </si>
  <si>
    <r>
      <t>CO</t>
    </r>
    <r>
      <rPr>
        <vertAlign val="subscript"/>
        <sz val="12"/>
        <color theme="1"/>
        <rFont val="Times New Roman"/>
        <family val="1"/>
      </rPr>
      <t>2</t>
    </r>
    <r>
      <rPr>
        <sz val="12"/>
        <color theme="1"/>
        <rFont val="Times New Roman"/>
        <family val="1"/>
      </rPr>
      <t xml:space="preserve"> Reducido (Ton CO</t>
    </r>
    <r>
      <rPr>
        <vertAlign val="subscript"/>
        <sz val="12"/>
        <color theme="1"/>
        <rFont val="Times New Roman"/>
        <family val="1"/>
      </rPr>
      <t>2eq</t>
    </r>
    <r>
      <rPr>
        <sz val="12"/>
        <color theme="1"/>
        <rFont val="Times New Roman"/>
        <family val="1"/>
      </rPr>
      <t>/año)</t>
    </r>
  </si>
  <si>
    <t>Porcentaje de reducción</t>
  </si>
  <si>
    <t>Año base (2017)</t>
  </si>
  <si>
    <t>LIMÓN</t>
  </si>
  <si>
    <t>Valor</t>
  </si>
  <si>
    <r>
      <t>Ton CO</t>
    </r>
    <r>
      <rPr>
        <vertAlign val="subscript"/>
        <sz val="12"/>
        <color theme="1"/>
        <rFont val="Times New Roman"/>
        <family val="1"/>
      </rPr>
      <t>2eq</t>
    </r>
    <r>
      <rPr>
        <sz val="12"/>
        <color theme="1"/>
        <rFont val="Times New Roman"/>
        <family val="1"/>
      </rPr>
      <t>/año</t>
    </r>
  </si>
  <si>
    <t>CICAP - CASJ</t>
  </si>
  <si>
    <t>Población institucional (personas)</t>
  </si>
  <si>
    <r>
      <t>Emisiones (TonCO</t>
    </r>
    <r>
      <rPr>
        <vertAlign val="subscript"/>
        <sz val="12"/>
        <color theme="1"/>
        <rFont val="Times New Roman"/>
        <family val="1"/>
      </rPr>
      <t>2eq</t>
    </r>
    <r>
      <rPr>
        <sz val="12"/>
        <color theme="1"/>
        <rFont val="Times New Roman"/>
        <family val="1"/>
      </rPr>
      <t>/año)</t>
    </r>
  </si>
  <si>
    <r>
      <t>Cociente productividad/eficiencia                                   (TonCO</t>
    </r>
    <r>
      <rPr>
        <vertAlign val="subscript"/>
        <sz val="12"/>
        <color theme="1"/>
        <rFont val="Times New Roman"/>
        <family val="1"/>
      </rPr>
      <t>2eq</t>
    </r>
    <r>
      <rPr>
        <sz val="12"/>
        <color theme="1"/>
        <rFont val="Times New Roman"/>
        <family val="1"/>
      </rPr>
      <t>/año/personas)</t>
    </r>
  </si>
  <si>
    <t>UCR-UNED</t>
  </si>
  <si>
    <t>Observaciones</t>
  </si>
  <si>
    <t>CETT</t>
  </si>
  <si>
    <t>Dirección de la evidencia</t>
  </si>
  <si>
    <t>UCR</t>
  </si>
  <si>
    <t>Año base (2019</t>
  </si>
  <si>
    <t>MICIT</t>
  </si>
  <si>
    <t>HOTEL DOUBLE TREE</t>
  </si>
  <si>
    <t>CENTRO DE CONVENCIONES DE CR</t>
  </si>
  <si>
    <t>Registro de viajes compartidos 2019</t>
  </si>
  <si>
    <t>N° de boleta</t>
  </si>
  <si>
    <t>CTLSC</t>
  </si>
  <si>
    <t>265-198</t>
  </si>
  <si>
    <t>Conare</t>
  </si>
  <si>
    <t>265-201</t>
  </si>
  <si>
    <t>265-157</t>
  </si>
  <si>
    <t>265-245</t>
  </si>
  <si>
    <t>265-211</t>
  </si>
  <si>
    <t>265-167</t>
  </si>
  <si>
    <t>Año base (2020)</t>
  </si>
  <si>
    <t>265-224</t>
  </si>
  <si>
    <t>265-171</t>
  </si>
  <si>
    <t>CAL</t>
  </si>
  <si>
    <t>265-156</t>
  </si>
  <si>
    <t>265-254</t>
  </si>
  <si>
    <t>265-179</t>
  </si>
  <si>
    <t>CTLSJ</t>
  </si>
  <si>
    <t>265-155</t>
  </si>
  <si>
    <t>265-252</t>
  </si>
  <si>
    <t>01. Cartago\03. Evidencias\2022\03. Reducciones\Viajes Compartidos</t>
  </si>
  <si>
    <t>265-212</t>
  </si>
  <si>
    <t>265-271</t>
  </si>
  <si>
    <t>265-261</t>
  </si>
  <si>
    <t>Las reducciones debido a la implementación de la directriz de auto compartido en la Unidad de Transportes se cuantifican con la colaboración del coordinador de la Unidad de Transportes, quien copiará a la encargada de registrar la información en los correos enviados a los viajantes acerca de los viajes compartidos, para de esta forma comparar las emisiones de dióxido de carbono equivalente generadas en el viaje compartido y las que se habrían generado de hacer viajes separados. La comparación se hace con el rendimiento del vehículo utilizado en litros de combustible por kilómetro, este rendimiento se calcula a partir de los datos de consumo de combustible y kilometraje del año en el que se utilizaron los vehículos. Se supone que en caso de hacer viajes separados se usaría el mismo vehículo para ambos viajes. Para los casos donde no se indique la cantidad de dependencias que comparten viaje, se asume un valor mínimo de 2 dependencias. Los kilometros por viaje se aproximarán mediante la aplicación WAZE o similar, en caso de haber más de una ruta probable se promedia la distancia.</t>
  </si>
  <si>
    <t>265-269</t>
  </si>
  <si>
    <t>UNED</t>
  </si>
  <si>
    <t>265-151</t>
  </si>
  <si>
    <t>265-227</t>
  </si>
  <si>
    <t>265-270</t>
  </si>
  <si>
    <t>**Los viajes que repiten fecha y lugar son de diferentes entidades y a diferente hora.</t>
  </si>
  <si>
    <t>**Los viajes a San Carlos se cuentan por persona notificada en el correo</t>
  </si>
  <si>
    <t>Registro de viajes compartidos 2020</t>
  </si>
  <si>
    <t>01. Cartago\03. Evidencias\2022\01. Reducciones\Viajes Compartidos</t>
  </si>
  <si>
    <t>Registro de viajes compartidos 2021</t>
  </si>
  <si>
    <t>Durante el año 2021, no hubieron viajes compartidos según Correo Viajes compartidos 2021</t>
  </si>
  <si>
    <t xml:space="preserve">Cantidad de viajes compartidos </t>
  </si>
  <si>
    <t>265-236</t>
  </si>
  <si>
    <t>Centro Académico de Limón</t>
  </si>
  <si>
    <t>265-216</t>
  </si>
  <si>
    <t>Campus Tecnológico de San Carlos</t>
  </si>
  <si>
    <t>Colegio Metodista</t>
  </si>
  <si>
    <t>265-246</t>
  </si>
  <si>
    <t>Registro de viajes compartidos 2023</t>
  </si>
  <si>
    <t>Recorridos en bicicleta</t>
  </si>
  <si>
    <t>Mes</t>
  </si>
  <si>
    <t>Distancia km</t>
  </si>
  <si>
    <t>Setiembre</t>
  </si>
  <si>
    <t>Octubre</t>
  </si>
  <si>
    <t>Noviembre</t>
  </si>
  <si>
    <t>Diciembre</t>
  </si>
  <si>
    <t>Consumo (L)</t>
  </si>
  <si>
    <t>Rendimiento (km/L)</t>
  </si>
  <si>
    <t>Nota: Según conversación con el coordinador de la Unidad USEVI, Gerson Hernández, el mes de setiembre es el que presenta la mayor exactitud de los registros. Están completos. Por lo que se utiliza el rendimiento de este mes para realizar los cálculos</t>
  </si>
  <si>
    <t>septiembre</t>
  </si>
  <si>
    <t>octubre</t>
  </si>
  <si>
    <t>noviembre</t>
  </si>
  <si>
    <t>diciembre</t>
  </si>
  <si>
    <t>Promedio</t>
  </si>
  <si>
    <t xml:space="preserve">Cálculo de las reducciones </t>
  </si>
  <si>
    <t>Km recorridos por las bicicletas en el 2022</t>
  </si>
  <si>
    <t>Factor emisión electricidad (kg CO2 e/kWh)</t>
  </si>
  <si>
    <t>Factor emisión gasolina(kg CO2 e/L)</t>
  </si>
  <si>
    <t>Transporte terrestre/gasolina/con catalizador (kgCH4/L Combustible)</t>
  </si>
  <si>
    <t>Transporte terrestre/gasolina/con catalizador (kg N2O / L Combustible)</t>
  </si>
  <si>
    <t>Especificaciones de la bicicleta</t>
  </si>
  <si>
    <t>Batería (watts)</t>
  </si>
  <si>
    <t>Autonomía promedio (km)</t>
  </si>
  <si>
    <t>Duración de carga (h)</t>
  </si>
  <si>
    <r>
      <rPr>
        <b/>
        <sz val="11"/>
        <color theme="1"/>
        <rFont val="Calibri"/>
        <family val="2"/>
        <scheme val="minor"/>
      </rPr>
      <t xml:space="preserve">Fuente de información: </t>
    </r>
    <r>
      <rPr>
        <sz val="11"/>
        <color theme="1"/>
        <rFont val="Arial"/>
        <family val="2"/>
      </rPr>
      <t xml:space="preserve"> https://gwbicycles.com/products/bicicleta-electrica-bogota-gw </t>
    </r>
  </si>
  <si>
    <t>Cantidad de recargas</t>
  </si>
  <si>
    <t>Consumo energético en las recargas (kWh)</t>
  </si>
  <si>
    <t>tCO2 eq</t>
  </si>
  <si>
    <t>Total km</t>
  </si>
  <si>
    <t>OC Aproximadamente fue de Setiembre</t>
  </si>
  <si>
    <t>Cuadro 1. Datos requeridos sobre la instalación de las nuevas luminarias.</t>
  </si>
  <si>
    <t>Horas de uso</t>
  </si>
  <si>
    <t>Detalle</t>
  </si>
  <si>
    <t>Reemplazo</t>
  </si>
  <si>
    <t>Nueva</t>
  </si>
  <si>
    <t>Ahorro KWh/2022</t>
  </si>
  <si>
    <t>Cantidad luminarias</t>
  </si>
  <si>
    <t>Eficiencia</t>
  </si>
  <si>
    <t>Potencia</t>
  </si>
  <si>
    <t>KWh/dia/lámpara</t>
  </si>
  <si>
    <t>KWh/dia total</t>
  </si>
  <si>
    <t>12 horas por día (6pm a 6 am)</t>
  </si>
  <si>
    <t>110 Lum/W</t>
  </si>
  <si>
    <t>120 Lum/W</t>
  </si>
  <si>
    <t>No indica en ficha técnica</t>
  </si>
  <si>
    <t>Ahorro total</t>
  </si>
  <si>
    <t>Consideraciones</t>
  </si>
  <si>
    <t>Las lámparas se usan aproximadamente 12h/día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</si>
</sst>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140A]* #,##0.00_-;\-[$₡-140A]* #,##0.00_-;_-[$₡-140A]* &quot;-&quot;??_-;_-@"/>
    <numFmt numFmtId="165" formatCode="&quot;₡&quot;#,##0.00"/>
    <numFmt numFmtId="166" formatCode="_-* #,##0_-;\-* #,##0_-;_-* &quot;-&quot;??_-;_-@_-"/>
    <numFmt numFmtId="167" formatCode="_-* #,##0.0000_-;\-* #,##0.0000_-;_-* &quot;-&quot;??_-;_-@_-"/>
    <numFmt numFmtId="168" formatCode="0.00000"/>
    <numFmt numFmtId="169" formatCode="0.000"/>
    <numFmt numFmtId="170" formatCode="0.0000"/>
    <numFmt numFmtId="171" formatCode="0.000000"/>
  </numFmts>
  <fonts count="45"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color theme="1"/>
      <name val="Franklin Gothic Book"/>
      <family val="2"/>
    </font>
    <font>
      <b/>
      <sz val="12"/>
      <color theme="1"/>
      <name val="Franklin Gothic Book"/>
      <family val="2"/>
    </font>
    <font>
      <b/>
      <sz val="12"/>
      <color theme="0"/>
      <name val="Franklin Gothic Book"/>
      <family val="2"/>
    </font>
    <font>
      <sz val="12"/>
      <name val="Franklin Gothic Book"/>
      <family val="2"/>
    </font>
    <font>
      <b/>
      <sz val="12"/>
      <color rgb="FFFFFFFF"/>
      <name val="Franklin Gothic Book"/>
      <family val="2"/>
    </font>
    <font>
      <sz val="20"/>
      <color theme="1"/>
      <name val="Franklin Gothic Book"/>
      <family val="2"/>
    </font>
    <font>
      <sz val="12"/>
      <color theme="0"/>
      <name val="Franklin Gothic Book"/>
      <family val="2"/>
    </font>
    <font>
      <i/>
      <sz val="12"/>
      <color theme="1"/>
      <name val="Franklin Gothic Book"/>
      <family val="2"/>
    </font>
    <font>
      <i/>
      <sz val="12"/>
      <name val="Franklin Gothic Book"/>
      <family val="2"/>
    </font>
    <font>
      <b/>
      <vertAlign val="subscript"/>
      <sz val="12"/>
      <color theme="0"/>
      <name val="Franklin Gothic Book"/>
      <family val="2"/>
    </font>
    <font>
      <b/>
      <sz val="12"/>
      <name val="Franklin Gothic Book"/>
      <family val="2"/>
    </font>
    <font>
      <b/>
      <sz val="12"/>
      <color rgb="FFFF0000"/>
      <name val="Franklin Gothic Book"/>
      <family val="2"/>
    </font>
    <font>
      <sz val="11"/>
      <color theme="1"/>
      <name val="Arial"/>
      <family val="2"/>
    </font>
    <font>
      <vertAlign val="subscript"/>
      <sz val="12"/>
      <name val="Franklin Gothic Book"/>
      <family val="2"/>
    </font>
    <font>
      <sz val="11"/>
      <color theme="1"/>
      <name val="Franklin Gothic Book"/>
      <family val="2"/>
    </font>
    <font>
      <vertAlign val="subscript"/>
      <sz val="12"/>
      <color theme="1"/>
      <name val="Franklin Gothic Book"/>
      <family val="2"/>
    </font>
    <font>
      <sz val="20"/>
      <name val="Franklin Gothic Book"/>
      <family val="2"/>
    </font>
    <font>
      <sz val="11"/>
      <name val="Franklin Gothic Book"/>
      <family val="2"/>
    </font>
    <font>
      <sz val="12"/>
      <color theme="1"/>
      <name val="Times New Roman"/>
      <family val="1"/>
    </font>
    <font>
      <b/>
      <sz val="22"/>
      <color theme="0"/>
      <name val="Times New Roman"/>
      <family val="1"/>
    </font>
    <font>
      <b/>
      <sz val="22"/>
      <name val="Times New Roman"/>
      <family val="1"/>
    </font>
    <font>
      <b/>
      <sz val="12"/>
      <color theme="1"/>
      <name val="Times New Roman"/>
      <family val="1"/>
    </font>
    <font>
      <vertAlign val="subscript"/>
      <sz val="12"/>
      <color theme="1"/>
      <name val="Times New Roman"/>
      <family val="1"/>
    </font>
    <font>
      <b/>
      <sz val="9"/>
      <color indexed="81"/>
      <name val="Tahoma"/>
      <family val="2"/>
    </font>
    <font>
      <sz val="9"/>
      <color indexed="81"/>
      <name val="Tahoma"/>
      <family val="2"/>
    </font>
    <font>
      <sz val="8"/>
      <name val="Arial"/>
      <family val="2"/>
    </font>
    <font>
      <sz val="12"/>
      <color rgb="FF000000"/>
      <name val="Franklin Gothic Book"/>
      <family val="2"/>
    </font>
    <font>
      <vertAlign val="subscript"/>
      <sz val="12"/>
      <color rgb="FF000000"/>
      <name val="Franklin Gothic Book"/>
      <family val="2"/>
    </font>
    <font>
      <sz val="12"/>
      <color rgb="FFFF0000"/>
      <name val="Franklin Gothic Book"/>
      <family val="2"/>
    </font>
    <font>
      <b/>
      <sz val="11"/>
      <color theme="0"/>
      <name val="Calibri"/>
      <family val="2"/>
      <scheme val="minor"/>
    </font>
    <font>
      <b/>
      <sz val="11"/>
      <color theme="1"/>
      <name val="Calibri"/>
      <family val="2"/>
      <scheme val="minor"/>
    </font>
    <font>
      <b/>
      <sz val="12"/>
      <color theme="0"/>
      <name val="Calibri"/>
      <family val="2"/>
      <scheme val="minor"/>
    </font>
    <font>
      <sz val="12"/>
      <color rgb="FFFF0000"/>
      <name val="Times New Roman"/>
      <family val="1"/>
    </font>
    <font>
      <sz val="12"/>
      <color rgb="FF000000"/>
      <name val="Times New Roman"/>
      <family val="1"/>
    </font>
    <font>
      <b/>
      <sz val="11"/>
      <color rgb="FF000000"/>
      <name val="Calibri"/>
      <family val="2"/>
    </font>
    <font>
      <sz val="11"/>
      <color rgb="FF000000"/>
      <name val="Calibri"/>
      <family val="2"/>
    </font>
    <font>
      <b/>
      <sz val="11"/>
      <color theme="1"/>
      <name val="Arial"/>
      <family val="2"/>
    </font>
    <font>
      <sz val="12"/>
      <color rgb="FF000000"/>
      <name val="Franklin Gothic Book"/>
      <family val="2"/>
    </font>
    <font>
      <b/>
      <sz val="12"/>
      <color rgb="FF000000"/>
      <name val="Franklin Gothic Book"/>
      <family val="2"/>
    </font>
    <font>
      <sz val="12"/>
      <color theme="1"/>
      <name val="Franklin Gothic Book"/>
      <family val="2"/>
    </font>
  </fonts>
  <fills count="27">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8" tint="-0.499984740745262"/>
        <bgColor rgb="FF1F3864"/>
      </patternFill>
    </fill>
    <fill>
      <patternFill patternType="solid">
        <fgColor theme="8" tint="0.79998168889431442"/>
        <bgColor indexed="64"/>
      </patternFill>
    </fill>
    <fill>
      <patternFill patternType="solid">
        <fgColor theme="4" tint="-0.499984740745262"/>
        <bgColor indexed="64"/>
      </patternFill>
    </fill>
    <fill>
      <patternFill patternType="solid">
        <fgColor theme="4" tint="-0.499984740745262"/>
        <bgColor rgb="FF00ACA8"/>
      </patternFill>
    </fill>
    <fill>
      <patternFill patternType="solid">
        <fgColor theme="2" tint="-0.499984740745262"/>
        <bgColor rgb="FF1F3864"/>
      </patternFill>
    </fill>
    <fill>
      <patternFill patternType="solid">
        <fgColor theme="2" tint="-0.49998474074526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rgb="FF003366"/>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bgColor indexed="64"/>
      </patternFill>
    </fill>
    <fill>
      <patternFill patternType="solid">
        <fgColor theme="7"/>
        <bgColor indexed="64"/>
      </patternFill>
    </fill>
    <fill>
      <patternFill patternType="solid">
        <fgColor rgb="FFFFFF00"/>
        <bgColor indexed="64"/>
      </patternFill>
    </fill>
    <fill>
      <patternFill patternType="solid">
        <fgColor theme="5"/>
        <bgColor indexed="64"/>
      </patternFill>
    </fill>
    <fill>
      <patternFill patternType="solid">
        <fgColor theme="4" tint="0.79998168889431442"/>
        <bgColor indexed="65"/>
      </patternFill>
    </fill>
    <fill>
      <patternFill patternType="solid">
        <fgColor theme="3" tint="0.39997558519241921"/>
        <bgColor indexed="64"/>
      </patternFill>
    </fill>
    <fill>
      <patternFill patternType="solid">
        <fgColor theme="4" tint="0.79998168889431442"/>
        <bgColor rgb="FFE2EFDA"/>
      </patternFill>
    </fill>
    <fill>
      <patternFill patternType="solid">
        <fgColor theme="4" tint="0.79998168889431442"/>
        <bgColor indexed="64"/>
      </patternFill>
    </fill>
    <fill>
      <patternFill patternType="solid">
        <fgColor theme="2" tint="-0.34998626667073579"/>
        <bgColor indexed="64"/>
      </patternFill>
    </fill>
    <fill>
      <patternFill patternType="solid">
        <fgColor theme="9" tint="0.79998168889431442"/>
        <bgColor indexed="65"/>
      </patternFill>
    </fill>
    <fill>
      <patternFill patternType="solid">
        <fgColor theme="0"/>
        <bgColor rgb="FF003366"/>
      </patternFill>
    </fill>
  </fills>
  <borders count="116">
    <border>
      <left/>
      <right/>
      <top/>
      <bottom/>
      <diagonal/>
    </border>
    <border>
      <left/>
      <right/>
      <top/>
      <bottom style="thin">
        <color rgb="FF000000"/>
      </bottom>
      <diagonal/>
    </border>
    <border>
      <left style="medium">
        <color rgb="FF000000"/>
      </left>
      <right/>
      <top/>
      <bottom/>
      <diagonal/>
    </border>
    <border>
      <left/>
      <right/>
      <top/>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medium">
        <color rgb="FF000000"/>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bottom style="medium">
        <color indexed="64"/>
      </bottom>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style="thin">
        <color rgb="FF000000"/>
      </left>
      <right/>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top/>
      <bottom style="medium">
        <color indexed="64"/>
      </bottom>
      <diagonal/>
    </border>
    <border>
      <left style="medium">
        <color indexed="64"/>
      </left>
      <right style="medium">
        <color rgb="FF000000"/>
      </right>
      <top/>
      <bottom style="medium">
        <color indexed="64"/>
      </bottom>
      <diagonal/>
    </border>
    <border>
      <left style="medium">
        <color indexed="64"/>
      </left>
      <right/>
      <top style="medium">
        <color rgb="FF000000"/>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medium">
        <color indexed="64"/>
      </top>
      <bottom/>
      <diagonal/>
    </border>
    <border>
      <left/>
      <right/>
      <top style="medium">
        <color indexed="64"/>
      </top>
      <bottom style="thin">
        <color rgb="FF000000"/>
      </bottom>
      <diagonal/>
    </border>
    <border>
      <left style="thin">
        <color rgb="FF000000"/>
      </left>
      <right/>
      <top style="medium">
        <color indexed="64"/>
      </top>
      <bottom/>
      <diagonal/>
    </border>
    <border>
      <left style="thin">
        <color rgb="FF000000"/>
      </left>
      <right/>
      <top/>
      <bottom style="medium">
        <color indexed="64"/>
      </bottom>
      <diagonal/>
    </border>
    <border>
      <left style="medium">
        <color indexed="64"/>
      </left>
      <right/>
      <top style="medium">
        <color indexed="64"/>
      </top>
      <bottom style="thin">
        <color rgb="FF000000"/>
      </bottom>
      <diagonal/>
    </border>
    <border>
      <left style="medium">
        <color indexed="64"/>
      </left>
      <right/>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rgb="FF000000"/>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s>
  <cellStyleXfs count="7">
    <xf numFmtId="0" fontId="0" fillId="0" borderId="0"/>
    <xf numFmtId="0" fontId="4" fillId="3" borderId="3"/>
    <xf numFmtId="43" fontId="17" fillId="0" borderId="0" applyFont="0" applyFill="0" applyBorder="0" applyAlignment="0" applyProtection="0"/>
    <xf numFmtId="0" fontId="3" fillId="0" borderId="3"/>
    <xf numFmtId="9" fontId="3" fillId="0" borderId="3" applyFont="0" applyFill="0" applyBorder="0" applyAlignment="0" applyProtection="0"/>
    <xf numFmtId="0" fontId="2" fillId="20" borderId="0" applyNumberFormat="0" applyBorder="0" applyAlignment="0" applyProtection="0"/>
    <xf numFmtId="0" fontId="1" fillId="25" borderId="0" applyNumberFormat="0" applyBorder="0" applyAlignment="0" applyProtection="0"/>
  </cellStyleXfs>
  <cellXfs count="621">
    <xf numFmtId="0" fontId="0" fillId="0" borderId="0" xfId="0"/>
    <xf numFmtId="0" fontId="5" fillId="0" borderId="0" xfId="0" applyFont="1"/>
    <xf numFmtId="0" fontId="5" fillId="0" borderId="36" xfId="0" applyFont="1" applyBorder="1" applyAlignment="1">
      <alignment horizontal="center" vertical="center"/>
    </xf>
    <xf numFmtId="0" fontId="5" fillId="0" borderId="35" xfId="0" applyFont="1" applyBorder="1" applyAlignment="1">
      <alignment vertical="center" wrapText="1"/>
    </xf>
    <xf numFmtId="0" fontId="9" fillId="4" borderId="46" xfId="0" applyFont="1" applyFill="1" applyBorder="1" applyAlignment="1">
      <alignment horizontal="center" vertical="center"/>
    </xf>
    <xf numFmtId="0" fontId="9" fillId="4" borderId="47" xfId="0" applyFont="1" applyFill="1" applyBorder="1" applyAlignment="1">
      <alignment horizontal="center" vertical="center"/>
    </xf>
    <xf numFmtId="0" fontId="0" fillId="0" borderId="0" xfId="0" applyAlignment="1">
      <alignment wrapText="1"/>
    </xf>
    <xf numFmtId="9" fontId="10" fillId="0" borderId="56" xfId="0" applyNumberFormat="1" applyFont="1" applyBorder="1" applyAlignment="1">
      <alignment horizontal="center" vertical="center"/>
    </xf>
    <xf numFmtId="0" fontId="5" fillId="0" borderId="57" xfId="0" applyFont="1" applyBorder="1" applyAlignment="1">
      <alignment horizontal="center" vertical="center"/>
    </xf>
    <xf numFmtId="0" fontId="7" fillId="6" borderId="61" xfId="0" applyFont="1" applyFill="1" applyBorder="1" applyAlignment="1">
      <alignment horizontal="center" wrapText="1"/>
    </xf>
    <xf numFmtId="0" fontId="7" fillId="6" borderId="62" xfId="0" applyFont="1" applyFill="1" applyBorder="1" applyAlignment="1">
      <alignment horizontal="center" wrapText="1"/>
    </xf>
    <xf numFmtId="0" fontId="7" fillId="10" borderId="23" xfId="0" applyFont="1" applyFill="1" applyBorder="1" applyAlignment="1">
      <alignment horizontal="center" wrapText="1"/>
    </xf>
    <xf numFmtId="1" fontId="5" fillId="3" borderId="25" xfId="0" applyNumberFormat="1" applyFont="1" applyFill="1" applyBorder="1" applyAlignment="1">
      <alignment horizontal="left" wrapText="1"/>
    </xf>
    <xf numFmtId="0" fontId="7" fillId="11" borderId="54" xfId="0" applyFont="1" applyFill="1" applyBorder="1" applyAlignment="1">
      <alignment horizontal="center" wrapText="1"/>
    </xf>
    <xf numFmtId="1" fontId="5" fillId="3" borderId="55" xfId="0" applyNumberFormat="1" applyFont="1" applyFill="1" applyBorder="1" applyAlignment="1">
      <alignment horizontal="left" wrapText="1"/>
    </xf>
    <xf numFmtId="0" fontId="7" fillId="12" borderId="26" xfId="0" applyFont="1" applyFill="1" applyBorder="1" applyAlignment="1">
      <alignment horizontal="center" wrapText="1"/>
    </xf>
    <xf numFmtId="1" fontId="5" fillId="3" borderId="28" xfId="0" applyNumberFormat="1" applyFont="1" applyFill="1" applyBorder="1" applyAlignment="1">
      <alignment horizontal="left" wrapText="1"/>
    </xf>
    <xf numFmtId="0" fontId="5" fillId="3" borderId="48" xfId="0" applyFont="1" applyFill="1" applyBorder="1" applyAlignment="1">
      <alignment horizontal="center" vertical="center" wrapText="1"/>
    </xf>
    <xf numFmtId="1" fontId="5" fillId="3" borderId="48" xfId="0" applyNumberFormat="1" applyFont="1" applyFill="1" applyBorder="1" applyAlignment="1">
      <alignment horizontal="center" vertical="center" wrapText="1"/>
    </xf>
    <xf numFmtId="1" fontId="5" fillId="3" borderId="55" xfId="0" applyNumberFormat="1" applyFont="1" applyFill="1" applyBorder="1" applyAlignment="1">
      <alignment horizontal="center" vertical="center" wrapText="1"/>
    </xf>
    <xf numFmtId="1" fontId="5" fillId="3" borderId="27" xfId="0" applyNumberFormat="1" applyFont="1" applyFill="1" applyBorder="1" applyAlignment="1">
      <alignment horizontal="center" vertical="center" wrapText="1"/>
    </xf>
    <xf numFmtId="0" fontId="5" fillId="3" borderId="27" xfId="0"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0" fillId="0" borderId="11" xfId="0" applyBorder="1"/>
    <xf numFmtId="0" fontId="8" fillId="5" borderId="21" xfId="0" applyFont="1" applyFill="1" applyBorder="1" applyAlignment="1">
      <alignment horizontal="center" vertical="center" wrapText="1"/>
    </xf>
    <xf numFmtId="0" fontId="8"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9" fillId="4" borderId="54" xfId="0" applyFont="1" applyFill="1" applyBorder="1" applyAlignment="1">
      <alignment horizontal="center" vertical="center" wrapText="1"/>
    </xf>
    <xf numFmtId="0" fontId="5" fillId="0" borderId="48" xfId="0" applyFont="1" applyBorder="1" applyAlignment="1">
      <alignment horizontal="center" vertical="center" wrapText="1"/>
    </xf>
    <xf numFmtId="0" fontId="15" fillId="0" borderId="55" xfId="0" applyFont="1" applyBorder="1" applyAlignment="1">
      <alignment horizontal="center" vertical="center" wrapText="1"/>
    </xf>
    <xf numFmtId="0" fontId="9" fillId="4" borderId="69" xfId="0" applyFont="1" applyFill="1" applyBorder="1" applyAlignment="1">
      <alignment horizontal="center" vertical="center"/>
    </xf>
    <xf numFmtId="9" fontId="5" fillId="0" borderId="52" xfId="0" applyNumberFormat="1" applyFont="1" applyBorder="1" applyAlignment="1">
      <alignment horizontal="center" vertical="center"/>
    </xf>
    <xf numFmtId="9" fontId="10" fillId="0" borderId="21" xfId="0" applyNumberFormat="1" applyFont="1" applyBorder="1" applyAlignment="1">
      <alignment horizontal="center" vertical="center"/>
    </xf>
    <xf numFmtId="0" fontId="5" fillId="0" borderId="70" xfId="0" applyFont="1" applyBorder="1" applyAlignment="1">
      <alignment horizontal="center" vertical="center"/>
    </xf>
    <xf numFmtId="9" fontId="10" fillId="0" borderId="71" xfId="0" applyNumberFormat="1"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48" xfId="0" applyFont="1" applyBorder="1" applyAlignment="1">
      <alignment vertical="center" wrapText="1"/>
    </xf>
    <xf numFmtId="0" fontId="5" fillId="3" borderId="5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5" fillId="0" borderId="27" xfId="0" applyFont="1" applyBorder="1" applyAlignment="1">
      <alignment vertical="center" wrapText="1"/>
    </xf>
    <xf numFmtId="0" fontId="9" fillId="4" borderId="73" xfId="0" applyFont="1" applyFill="1" applyBorder="1" applyAlignment="1">
      <alignment horizontal="center" vertical="center" wrapText="1"/>
    </xf>
    <xf numFmtId="0" fontId="5" fillId="0" borderId="74" xfId="0" applyFont="1" applyBorder="1" applyAlignment="1">
      <alignment vertical="center" wrapText="1"/>
    </xf>
    <xf numFmtId="1" fontId="5" fillId="3" borderId="74" xfId="0" applyNumberFormat="1" applyFont="1" applyFill="1" applyBorder="1" applyAlignment="1">
      <alignment horizontal="center" vertical="center" wrapText="1"/>
    </xf>
    <xf numFmtId="0" fontId="5" fillId="3" borderId="74" xfId="0"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0" fontId="9" fillId="4" borderId="61" xfId="0" applyFont="1" applyFill="1" applyBorder="1" applyAlignment="1">
      <alignment horizontal="center" vertical="center" wrapText="1"/>
    </xf>
    <xf numFmtId="0" fontId="7" fillId="6" borderId="76" xfId="0" applyFont="1" applyFill="1" applyBorder="1" applyAlignment="1">
      <alignment horizontal="center" wrapText="1"/>
    </xf>
    <xf numFmtId="0" fontId="7" fillId="6" borderId="76" xfId="0" applyFont="1" applyFill="1" applyBorder="1" applyAlignment="1">
      <alignment horizontal="center" vertical="center" wrapText="1"/>
    </xf>
    <xf numFmtId="0" fontId="7" fillId="6" borderId="62" xfId="0" applyFont="1" applyFill="1" applyBorder="1" applyAlignment="1">
      <alignment horizontal="center" vertical="center" wrapText="1"/>
    </xf>
    <xf numFmtId="0" fontId="9" fillId="4" borderId="77" xfId="0" applyFont="1" applyFill="1" applyBorder="1" applyAlignment="1">
      <alignment horizontal="center" vertical="center" wrapText="1"/>
    </xf>
    <xf numFmtId="0" fontId="9" fillId="4" borderId="78" xfId="0" applyFont="1" applyFill="1" applyBorder="1" applyAlignment="1">
      <alignment horizontal="center" vertical="center" wrapText="1"/>
    </xf>
    <xf numFmtId="0" fontId="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4" fillId="3" borderId="48" xfId="0" applyFont="1" applyFill="1" applyBorder="1" applyAlignment="1">
      <alignment vertical="center" wrapText="1"/>
    </xf>
    <xf numFmtId="0" fontId="4" fillId="3" borderId="23" xfId="0" applyFont="1" applyFill="1" applyBorder="1" applyAlignment="1">
      <alignment vertical="center" wrapText="1"/>
    </xf>
    <xf numFmtId="0" fontId="4" fillId="3" borderId="24" xfId="0" applyFont="1" applyFill="1" applyBorder="1" applyAlignment="1">
      <alignment vertical="center" wrapText="1"/>
    </xf>
    <xf numFmtId="0" fontId="4" fillId="3" borderId="54" xfId="0" applyFont="1" applyFill="1" applyBorder="1" applyAlignment="1">
      <alignment vertical="center" wrapText="1"/>
    </xf>
    <xf numFmtId="0" fontId="0" fillId="0" borderId="9" xfId="0" applyBorder="1" applyAlignment="1">
      <alignment wrapText="1"/>
    </xf>
    <xf numFmtId="0" fontId="0" fillId="0" borderId="10" xfId="0" applyBorder="1" applyAlignment="1">
      <alignment wrapText="1"/>
    </xf>
    <xf numFmtId="164" fontId="16" fillId="0" borderId="35" xfId="0" applyNumberFormat="1" applyFont="1" applyBorder="1" applyAlignment="1">
      <alignment horizontal="left" vertical="center" wrapText="1"/>
    </xf>
    <xf numFmtId="0" fontId="6" fillId="0" borderId="37" xfId="0" applyFont="1" applyBorder="1"/>
    <xf numFmtId="0" fontId="6" fillId="0" borderId="38" xfId="0" applyFont="1" applyBorder="1"/>
    <xf numFmtId="0" fontId="6" fillId="0" borderId="39" xfId="0" applyFont="1" applyBorder="1"/>
    <xf numFmtId="0" fontId="8" fillId="0" borderId="35" xfId="0" applyFont="1" applyBorder="1" applyAlignment="1">
      <alignment horizontal="center" vertical="center" wrapText="1"/>
    </xf>
    <xf numFmtId="0" fontId="5" fillId="0" borderId="57" xfId="0" applyFont="1" applyBorder="1" applyAlignment="1">
      <alignment horizontal="left" vertical="center"/>
    </xf>
    <xf numFmtId="0" fontId="5" fillId="0" borderId="57" xfId="0" applyFont="1" applyBorder="1" applyAlignment="1">
      <alignment horizontal="left" vertical="center" wrapText="1"/>
    </xf>
    <xf numFmtId="0" fontId="5" fillId="0" borderId="14" xfId="0" applyFont="1" applyBorder="1" applyAlignment="1">
      <alignment horizontal="left" vertical="center" wrapText="1"/>
    </xf>
    <xf numFmtId="0" fontId="6" fillId="0" borderId="3" xfId="0" applyFont="1" applyBorder="1" applyAlignment="1">
      <alignment vertical="center"/>
    </xf>
    <xf numFmtId="0" fontId="5" fillId="0" borderId="0" xfId="0" applyFont="1" applyAlignment="1">
      <alignment wrapText="1"/>
    </xf>
    <xf numFmtId="0" fontId="19" fillId="0" borderId="0" xfId="0" applyFont="1" applyAlignment="1">
      <alignment wrapText="1"/>
    </xf>
    <xf numFmtId="0" fontId="19" fillId="0" borderId="0" xfId="0" applyFont="1"/>
    <xf numFmtId="0" fontId="5" fillId="0" borderId="3" xfId="0" applyFont="1" applyBorder="1"/>
    <xf numFmtId="0" fontId="5" fillId="0" borderId="0" xfId="0" applyFont="1" applyAlignment="1">
      <alignment horizontal="left"/>
    </xf>
    <xf numFmtId="0" fontId="8" fillId="5" borderId="35" xfId="0" applyFont="1" applyFill="1" applyBorder="1" applyAlignment="1">
      <alignment horizontal="left" vertical="center" wrapText="1"/>
    </xf>
    <xf numFmtId="0" fontId="8" fillId="0" borderId="35" xfId="0" applyFont="1" applyBorder="1" applyAlignment="1">
      <alignment horizontal="left" vertical="center" wrapText="1"/>
    </xf>
    <xf numFmtId="0" fontId="5" fillId="0" borderId="35" xfId="0" applyFont="1" applyBorder="1" applyAlignment="1">
      <alignment horizontal="left" vertical="center" wrapText="1"/>
    </xf>
    <xf numFmtId="0" fontId="5" fillId="0" borderId="34"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9" fontId="5" fillId="0" borderId="17" xfId="0" applyNumberFormat="1" applyFont="1" applyBorder="1" applyAlignment="1">
      <alignment horizontal="left" vertical="center"/>
    </xf>
    <xf numFmtId="0" fontId="5" fillId="0" borderId="37" xfId="0" applyFont="1" applyBorder="1" applyAlignment="1">
      <alignment horizontal="left" vertical="center" wrapText="1"/>
    </xf>
    <xf numFmtId="164" fontId="5" fillId="0" borderId="35" xfId="0" applyNumberFormat="1" applyFont="1" applyBorder="1" applyAlignment="1">
      <alignment horizontal="left" vertical="center" wrapText="1"/>
    </xf>
    <xf numFmtId="9" fontId="5" fillId="0" borderId="52" xfId="0" applyNumberFormat="1" applyFont="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165" fontId="5" fillId="0" borderId="14" xfId="0" applyNumberFormat="1" applyFont="1" applyBorder="1" applyAlignment="1">
      <alignment horizontal="left" vertical="center" wrapText="1"/>
    </xf>
    <xf numFmtId="164" fontId="8" fillId="0" borderId="39" xfId="0" applyNumberFormat="1"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3"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8" fillId="0" borderId="48" xfId="0" applyFont="1" applyBorder="1" applyAlignment="1">
      <alignment vertical="center" wrapText="1"/>
    </xf>
    <xf numFmtId="0" fontId="8" fillId="0" borderId="25" xfId="0" applyFont="1" applyBorder="1" applyAlignment="1">
      <alignment vertical="center" wrapText="1"/>
    </xf>
    <xf numFmtId="0" fontId="8" fillId="0" borderId="55" xfId="0" applyFont="1" applyBorder="1" applyAlignment="1">
      <alignment vertical="center" wrapText="1"/>
    </xf>
    <xf numFmtId="0" fontId="8" fillId="0" borderId="28" xfId="0" applyFont="1" applyBorder="1" applyAlignment="1">
      <alignment vertical="center" wrapText="1"/>
    </xf>
    <xf numFmtId="0" fontId="15" fillId="0" borderId="23" xfId="0" applyFont="1" applyBorder="1" applyAlignment="1">
      <alignment vertical="center" wrapText="1"/>
    </xf>
    <xf numFmtId="0" fontId="15" fillId="0" borderId="54"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166" fontId="5" fillId="0" borderId="27" xfId="2" applyNumberFormat="1" applyFont="1" applyBorder="1" applyAlignment="1">
      <alignment vertical="center" wrapText="1"/>
    </xf>
    <xf numFmtId="166" fontId="16" fillId="0" borderId="28" xfId="2" applyNumberFormat="1" applyFont="1" applyBorder="1" applyAlignment="1">
      <alignment vertical="center" wrapText="1"/>
    </xf>
    <xf numFmtId="0" fontId="5" fillId="0" borderId="14" xfId="0" applyFont="1" applyBorder="1"/>
    <xf numFmtId="0" fontId="5" fillId="0" borderId="15" xfId="0" applyFont="1" applyBorder="1"/>
    <xf numFmtId="0" fontId="5" fillId="0" borderId="16" xfId="0" applyFont="1" applyBorder="1"/>
    <xf numFmtId="0" fontId="5" fillId="0" borderId="48" xfId="0" applyFont="1" applyBorder="1" applyAlignment="1">
      <alignment vertical="center"/>
    </xf>
    <xf numFmtId="43" fontId="5" fillId="0" borderId="48" xfId="2" applyFont="1" applyBorder="1" applyAlignment="1">
      <alignment vertical="center"/>
    </xf>
    <xf numFmtId="43" fontId="5" fillId="0" borderId="48" xfId="0" applyNumberFormat="1" applyFont="1" applyBorder="1" applyAlignment="1">
      <alignment vertical="center"/>
    </xf>
    <xf numFmtId="0" fontId="6" fillId="0" borderId="48" xfId="0" applyFont="1" applyBorder="1" applyAlignment="1">
      <alignment vertical="center"/>
    </xf>
    <xf numFmtId="0" fontId="5" fillId="0" borderId="25" xfId="0" applyFont="1" applyBorder="1" applyAlignment="1">
      <alignment vertical="center"/>
    </xf>
    <xf numFmtId="0" fontId="5" fillId="0" borderId="55" xfId="0" applyFont="1" applyBorder="1" applyAlignment="1">
      <alignment vertical="center"/>
    </xf>
    <xf numFmtId="43" fontId="5" fillId="0" borderId="27" xfId="0" applyNumberFormat="1" applyFont="1" applyBorder="1" applyAlignment="1">
      <alignment vertical="center"/>
    </xf>
    <xf numFmtId="0" fontId="5" fillId="0" borderId="9" xfId="0" applyFont="1" applyBorder="1"/>
    <xf numFmtId="0" fontId="5" fillId="0" borderId="10" xfId="0" applyFont="1" applyBorder="1"/>
    <xf numFmtId="0" fontId="5" fillId="0" borderId="12" xfId="0" applyFont="1" applyBorder="1"/>
    <xf numFmtId="0" fontId="5" fillId="0" borderId="13" xfId="0" applyFont="1" applyBorder="1"/>
    <xf numFmtId="1" fontId="8" fillId="0" borderId="48" xfId="0" applyNumberFormat="1" applyFont="1" applyBorder="1" applyAlignment="1">
      <alignment vertical="center" wrapText="1"/>
    </xf>
    <xf numFmtId="0" fontId="8" fillId="0" borderId="21" xfId="0" applyFont="1" applyBorder="1" applyAlignment="1">
      <alignment horizontal="left" vertical="center" wrapText="1"/>
    </xf>
    <xf numFmtId="2" fontId="8" fillId="0" borderId="27" xfId="0" applyNumberFormat="1" applyFont="1" applyBorder="1" applyAlignment="1">
      <alignment vertical="center" wrapText="1"/>
    </xf>
    <xf numFmtId="0" fontId="8" fillId="0" borderId="0" xfId="0" applyFont="1" applyAlignment="1">
      <alignment horizontal="left"/>
    </xf>
    <xf numFmtId="0" fontId="8" fillId="0" borderId="42" xfId="0" applyFont="1" applyBorder="1" applyAlignment="1">
      <alignment horizontal="left" vertical="center" wrapText="1"/>
    </xf>
    <xf numFmtId="0" fontId="8" fillId="0" borderId="11" xfId="0" applyFont="1" applyBorder="1" applyAlignment="1">
      <alignment horizontal="left" vertical="center" wrapText="1"/>
    </xf>
    <xf numFmtId="164" fontId="15" fillId="0" borderId="39" xfId="0" applyNumberFormat="1" applyFont="1" applyBorder="1" applyAlignment="1">
      <alignment horizontal="left" vertical="center" wrapText="1"/>
    </xf>
    <xf numFmtId="0" fontId="8" fillId="0" borderId="34" xfId="0" applyFont="1" applyBorder="1" applyAlignment="1">
      <alignment horizontal="left" vertical="center"/>
    </xf>
    <xf numFmtId="9" fontId="21" fillId="0" borderId="17" xfId="0" applyNumberFormat="1"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22" fillId="0" borderId="0" xfId="0" applyFont="1" applyAlignment="1">
      <alignment horizontal="left"/>
    </xf>
    <xf numFmtId="0" fontId="8" fillId="0" borderId="39" xfId="0" applyFont="1" applyBorder="1" applyAlignment="1">
      <alignment horizontal="left" vertical="center" wrapText="1"/>
    </xf>
    <xf numFmtId="2" fontId="5" fillId="0" borderId="0" xfId="0" applyNumberFormat="1" applyFont="1"/>
    <xf numFmtId="43" fontId="5" fillId="0" borderId="0" xfId="0" applyNumberFormat="1" applyFont="1"/>
    <xf numFmtId="0" fontId="23" fillId="0" borderId="3" xfId="3" applyFont="1"/>
    <xf numFmtId="0" fontId="23" fillId="0" borderId="3" xfId="3" applyFont="1" applyAlignment="1">
      <alignment vertical="center"/>
    </xf>
    <xf numFmtId="0" fontId="23" fillId="0" borderId="3" xfId="3" applyFont="1" applyAlignment="1">
      <alignment horizontal="center" vertical="center"/>
    </xf>
    <xf numFmtId="0" fontId="23" fillId="0" borderId="23" xfId="3" applyFont="1" applyBorder="1" applyAlignment="1">
      <alignment horizontal="center" vertical="center"/>
    </xf>
    <xf numFmtId="0" fontId="23" fillId="0" borderId="24" xfId="3" applyFont="1" applyBorder="1" applyAlignment="1">
      <alignment horizontal="center" vertical="center"/>
    </xf>
    <xf numFmtId="0" fontId="23" fillId="0" borderId="24" xfId="3" applyFont="1" applyBorder="1" applyAlignment="1">
      <alignment horizontal="center" vertical="center" wrapText="1"/>
    </xf>
    <xf numFmtId="0" fontId="23" fillId="0" borderId="25" xfId="3" applyFont="1" applyBorder="1" applyAlignment="1">
      <alignment horizontal="center" vertical="center" wrapText="1"/>
    </xf>
    <xf numFmtId="0" fontId="23" fillId="0" borderId="54" xfId="3" applyFont="1" applyBorder="1" applyAlignment="1">
      <alignment horizontal="center" vertical="center"/>
    </xf>
    <xf numFmtId="16" fontId="23" fillId="0" borderId="48" xfId="3" applyNumberFormat="1" applyFont="1" applyBorder="1" applyAlignment="1">
      <alignment horizontal="center" vertical="center"/>
    </xf>
    <xf numFmtId="0" fontId="23" fillId="0" borderId="48" xfId="3" applyFont="1" applyBorder="1" applyAlignment="1">
      <alignment horizontal="center" vertical="center"/>
    </xf>
    <xf numFmtId="2" fontId="23" fillId="0" borderId="48" xfId="3" applyNumberFormat="1" applyFont="1" applyBorder="1" applyAlignment="1">
      <alignment horizontal="center" vertical="center"/>
    </xf>
    <xf numFmtId="0" fontId="23" fillId="0" borderId="55" xfId="3" applyFont="1" applyBorder="1" applyAlignment="1">
      <alignment horizontal="center" vertical="center"/>
    </xf>
    <xf numFmtId="0" fontId="23" fillId="0" borderId="25" xfId="3" applyFont="1" applyBorder="1" applyAlignment="1">
      <alignment horizontal="center"/>
    </xf>
    <xf numFmtId="0" fontId="23" fillId="0" borderId="48" xfId="3" applyFont="1" applyBorder="1" applyAlignment="1">
      <alignment horizontal="center"/>
    </xf>
    <xf numFmtId="0" fontId="23" fillId="0" borderId="23" xfId="3" applyFont="1" applyBorder="1" applyAlignment="1">
      <alignment horizontal="center"/>
    </xf>
    <xf numFmtId="2" fontId="23" fillId="0" borderId="54" xfId="3" applyNumberFormat="1" applyFont="1" applyBorder="1" applyAlignment="1">
      <alignment horizontal="center" vertical="center"/>
    </xf>
    <xf numFmtId="0" fontId="23" fillId="0" borderId="26" xfId="3" applyFont="1" applyBorder="1" applyAlignment="1">
      <alignment horizontal="center" vertical="center"/>
    </xf>
    <xf numFmtId="0" fontId="23" fillId="0" borderId="28" xfId="3" applyFont="1" applyBorder="1" applyAlignment="1">
      <alignment horizontal="center" vertical="center" wrapText="1"/>
    </xf>
    <xf numFmtId="0" fontId="23" fillId="0" borderId="28" xfId="3" applyFont="1" applyBorder="1" applyAlignment="1">
      <alignment horizontal="center" vertical="center"/>
    </xf>
    <xf numFmtId="16" fontId="23" fillId="0" borderId="48" xfId="3" applyNumberFormat="1" applyFont="1" applyBorder="1" applyAlignment="1">
      <alignment horizontal="center"/>
    </xf>
    <xf numFmtId="2" fontId="23" fillId="0" borderId="26" xfId="3" applyNumberFormat="1" applyFont="1" applyBorder="1" applyAlignment="1">
      <alignment horizontal="center" vertical="center"/>
    </xf>
    <xf numFmtId="2" fontId="23" fillId="0" borderId="55" xfId="3" applyNumberFormat="1" applyFont="1" applyBorder="1" applyAlignment="1">
      <alignment horizontal="center" vertical="center"/>
    </xf>
    <xf numFmtId="2" fontId="23" fillId="0" borderId="48" xfId="3" quotePrefix="1" applyNumberFormat="1" applyFont="1" applyBorder="1" applyAlignment="1">
      <alignment horizontal="center" vertical="center"/>
    </xf>
    <xf numFmtId="2" fontId="23" fillId="0" borderId="28" xfId="3" applyNumberFormat="1" applyFont="1" applyBorder="1" applyAlignment="1">
      <alignment horizontal="center" vertical="center"/>
    </xf>
    <xf numFmtId="0" fontId="23" fillId="0" borderId="23" xfId="3" applyFont="1" applyBorder="1" applyAlignment="1">
      <alignment horizontal="center" vertical="center" wrapText="1"/>
    </xf>
    <xf numFmtId="0" fontId="23" fillId="0" borderId="26" xfId="3" applyFont="1" applyBorder="1" applyAlignment="1">
      <alignment horizontal="center" vertical="center" wrapText="1"/>
    </xf>
    <xf numFmtId="0" fontId="23" fillId="0" borderId="27" xfId="3" applyFont="1" applyBorder="1" applyAlignment="1">
      <alignment horizontal="center" vertical="center" wrapText="1"/>
    </xf>
    <xf numFmtId="0" fontId="23" fillId="0" borderId="96" xfId="3" applyFont="1" applyBorder="1" applyAlignment="1">
      <alignment horizontal="center" vertical="center" wrapText="1"/>
    </xf>
    <xf numFmtId="0" fontId="23" fillId="0" borderId="97" xfId="3" applyFont="1" applyBorder="1" applyAlignment="1">
      <alignment horizontal="center" vertical="center" wrapText="1"/>
    </xf>
    <xf numFmtId="0" fontId="23" fillId="0" borderId="87" xfId="3" applyFont="1" applyBorder="1" applyAlignment="1">
      <alignment horizontal="center" vertical="center" wrapText="1"/>
    </xf>
    <xf numFmtId="2" fontId="23" fillId="0" borderId="90" xfId="3" applyNumberFormat="1" applyFont="1" applyBorder="1" applyAlignment="1">
      <alignment horizontal="center" vertical="center"/>
    </xf>
    <xf numFmtId="0" fontId="23" fillId="0" borderId="74" xfId="3" applyFont="1" applyBorder="1" applyAlignment="1">
      <alignment horizontal="center" vertical="center"/>
    </xf>
    <xf numFmtId="0" fontId="23" fillId="0" borderId="23" xfId="3" applyFont="1" applyBorder="1"/>
    <xf numFmtId="0" fontId="23" fillId="0" borderId="24" xfId="3" applyFont="1" applyBorder="1"/>
    <xf numFmtId="0" fontId="23" fillId="0" borderId="75" xfId="3" applyFont="1" applyBorder="1" applyAlignment="1">
      <alignment horizontal="center" vertical="center"/>
    </xf>
    <xf numFmtId="0" fontId="23" fillId="0" borderId="54" xfId="3" applyFont="1" applyBorder="1"/>
    <xf numFmtId="0" fontId="23" fillId="0" borderId="48" xfId="3" applyFont="1" applyBorder="1"/>
    <xf numFmtId="2" fontId="23" fillId="0" borderId="48" xfId="3" applyNumberFormat="1" applyFont="1" applyBorder="1" applyAlignment="1">
      <alignment horizontal="center"/>
    </xf>
    <xf numFmtId="1" fontId="23" fillId="0" borderId="48" xfId="3" applyNumberFormat="1" applyFont="1" applyBorder="1" applyAlignment="1">
      <alignment horizontal="center" vertical="center"/>
    </xf>
    <xf numFmtId="0" fontId="23" fillId="0" borderId="48" xfId="3" applyFont="1" applyBorder="1" applyAlignment="1">
      <alignment horizontal="center" vertical="center" wrapText="1"/>
    </xf>
    <xf numFmtId="2" fontId="23" fillId="0" borderId="48" xfId="3" applyNumberFormat="1" applyFont="1" applyBorder="1" applyAlignment="1">
      <alignment horizontal="center" vertical="center" wrapText="1"/>
    </xf>
    <xf numFmtId="0" fontId="23" fillId="0" borderId="48" xfId="3" applyFont="1" applyBorder="1" applyAlignment="1">
      <alignment vertical="center"/>
    </xf>
    <xf numFmtId="16" fontId="23" fillId="0" borderId="48" xfId="3" applyNumberFormat="1" applyFont="1" applyBorder="1" applyAlignment="1">
      <alignment horizontal="center" vertical="center" wrapText="1"/>
    </xf>
    <xf numFmtId="16" fontId="23" fillId="0" borderId="48" xfId="3" applyNumberFormat="1" applyFont="1" applyBorder="1" applyAlignment="1">
      <alignment horizontal="center" wrapText="1"/>
    </xf>
    <xf numFmtId="0" fontId="23" fillId="0" borderId="48" xfId="3" applyFont="1" applyBorder="1" applyAlignment="1">
      <alignment horizontal="center" wrapText="1"/>
    </xf>
    <xf numFmtId="0" fontId="23" fillId="0" borderId="27" xfId="3" applyFont="1" applyBorder="1" applyAlignment="1">
      <alignment horizontal="center" vertical="center"/>
    </xf>
    <xf numFmtId="0" fontId="23" fillId="0" borderId="26" xfId="3" applyFont="1" applyBorder="1"/>
    <xf numFmtId="0" fontId="23" fillId="0" borderId="27" xfId="3" applyFont="1" applyBorder="1"/>
    <xf numFmtId="0" fontId="23" fillId="0" borderId="48" xfId="3" applyFont="1" applyBorder="1" applyAlignment="1">
      <alignment horizontal="left"/>
    </xf>
    <xf numFmtId="0" fontId="23" fillId="0" borderId="77" xfId="3" applyFont="1" applyBorder="1" applyAlignment="1">
      <alignment horizontal="center" vertical="center"/>
    </xf>
    <xf numFmtId="16" fontId="23" fillId="0" borderId="78" xfId="3" applyNumberFormat="1" applyFont="1" applyBorder="1" applyAlignment="1">
      <alignment horizontal="center"/>
    </xf>
    <xf numFmtId="0" fontId="23" fillId="0" borderId="78" xfId="3" applyFont="1" applyBorder="1" applyAlignment="1">
      <alignment horizontal="center"/>
    </xf>
    <xf numFmtId="2" fontId="23" fillId="0" borderId="78" xfId="3" applyNumberFormat="1" applyFont="1" applyBorder="1" applyAlignment="1">
      <alignment horizontal="center"/>
    </xf>
    <xf numFmtId="0" fontId="23" fillId="0" borderId="79" xfId="3" applyFont="1" applyBorder="1" applyAlignment="1">
      <alignment horizontal="center" vertical="center"/>
    </xf>
    <xf numFmtId="0" fontId="23" fillId="0" borderId="39" xfId="3" applyFont="1" applyBorder="1" applyAlignment="1">
      <alignment horizontal="center"/>
    </xf>
    <xf numFmtId="0" fontId="23" fillId="0" borderId="21" xfId="3" applyFont="1" applyBorder="1" applyAlignment="1">
      <alignment horizontal="center" vertical="center"/>
    </xf>
    <xf numFmtId="0" fontId="23" fillId="0" borderId="21" xfId="3" applyFont="1" applyBorder="1" applyAlignment="1">
      <alignment horizontal="center" vertical="center" wrapText="1"/>
    </xf>
    <xf numFmtId="0" fontId="23" fillId="16" borderId="23" xfId="3" applyFont="1" applyFill="1" applyBorder="1" applyAlignment="1">
      <alignment horizontal="center" vertical="center"/>
    </xf>
    <xf numFmtId="16" fontId="23" fillId="0" borderId="24" xfId="3" applyNumberFormat="1" applyFont="1" applyBorder="1" applyAlignment="1">
      <alignment horizontal="center" vertical="center"/>
    </xf>
    <xf numFmtId="1" fontId="23" fillId="0" borderId="24" xfId="3" applyNumberFormat="1" applyFont="1" applyBorder="1" applyAlignment="1">
      <alignment horizontal="center" vertical="center"/>
    </xf>
    <xf numFmtId="0" fontId="23" fillId="0" borderId="25" xfId="3" applyFont="1" applyBorder="1" applyAlignment="1">
      <alignment horizontal="center" vertical="center"/>
    </xf>
    <xf numFmtId="0" fontId="23" fillId="16" borderId="54" xfId="3" applyFont="1" applyFill="1" applyBorder="1" applyAlignment="1">
      <alignment horizontal="center" vertical="center"/>
    </xf>
    <xf numFmtId="16" fontId="23" fillId="0" borderId="3" xfId="3" applyNumberFormat="1" applyFont="1" applyAlignment="1">
      <alignment horizontal="center" vertical="center"/>
    </xf>
    <xf numFmtId="0" fontId="23" fillId="0" borderId="3" xfId="3" applyFont="1" applyAlignment="1">
      <alignment horizontal="center" vertical="center" wrapText="1"/>
    </xf>
    <xf numFmtId="0" fontId="23" fillId="16" borderId="77" xfId="3" applyFont="1" applyFill="1" applyBorder="1" applyAlignment="1">
      <alignment horizontal="center" vertical="center"/>
    </xf>
    <xf numFmtId="0" fontId="23" fillId="0" borderId="78" xfId="3" applyFont="1" applyBorder="1" applyAlignment="1">
      <alignment horizontal="center" vertical="center"/>
    </xf>
    <xf numFmtId="16" fontId="23" fillId="0" borderId="78" xfId="3" applyNumberFormat="1" applyFont="1" applyBorder="1" applyAlignment="1">
      <alignment horizontal="center" vertical="center"/>
    </xf>
    <xf numFmtId="0" fontId="23" fillId="0" borderId="88" xfId="3" applyFont="1" applyBorder="1" applyAlignment="1">
      <alignment horizontal="center" vertical="center"/>
    </xf>
    <xf numFmtId="0" fontId="23" fillId="16" borderId="54" xfId="3" applyFont="1" applyFill="1" applyBorder="1" applyAlignment="1">
      <alignment horizontal="center"/>
    </xf>
    <xf numFmtId="1" fontId="23" fillId="0" borderId="48" xfId="3" applyNumberFormat="1" applyFont="1" applyBorder="1" applyAlignment="1">
      <alignment horizontal="center"/>
    </xf>
    <xf numFmtId="0" fontId="23" fillId="16" borderId="54" xfId="3" applyFont="1" applyFill="1" applyBorder="1" applyAlignment="1">
      <alignment horizontal="center" wrapText="1"/>
    </xf>
    <xf numFmtId="0" fontId="23" fillId="16" borderId="77" xfId="3" applyFont="1" applyFill="1" applyBorder="1" applyAlignment="1">
      <alignment horizontal="center"/>
    </xf>
    <xf numFmtId="0" fontId="23" fillId="0" borderId="38" xfId="3" applyFont="1" applyBorder="1"/>
    <xf numFmtId="0" fontId="23" fillId="0" borderId="39" xfId="3" applyFont="1" applyBorder="1"/>
    <xf numFmtId="0" fontId="23" fillId="15" borderId="3" xfId="3" applyFont="1" applyFill="1"/>
    <xf numFmtId="0" fontId="23" fillId="0" borderId="20" xfId="3" applyFont="1" applyBorder="1" applyAlignment="1">
      <alignment horizontal="center" vertical="center"/>
    </xf>
    <xf numFmtId="0" fontId="23" fillId="0" borderId="20" xfId="3" applyFont="1" applyBorder="1" applyAlignment="1">
      <alignment horizontal="center" vertical="center" wrapText="1"/>
    </xf>
    <xf numFmtId="14" fontId="23" fillId="0" borderId="24" xfId="3" applyNumberFormat="1" applyFont="1" applyBorder="1"/>
    <xf numFmtId="0" fontId="23" fillId="0" borderId="24" xfId="3" applyFont="1" applyBorder="1" applyAlignment="1">
      <alignment vertical="center"/>
    </xf>
    <xf numFmtId="0" fontId="23" fillId="0" borderId="25" xfId="3" applyFont="1" applyBorder="1"/>
    <xf numFmtId="14" fontId="23" fillId="0" borderId="48" xfId="3" applyNumberFormat="1" applyFont="1" applyBorder="1"/>
    <xf numFmtId="0" fontId="23" fillId="0" borderId="55" xfId="3" applyFont="1" applyBorder="1"/>
    <xf numFmtId="14" fontId="23" fillId="17" borderId="27" xfId="3" applyNumberFormat="1" applyFont="1" applyFill="1" applyBorder="1"/>
    <xf numFmtId="0" fontId="23" fillId="0" borderId="27" xfId="3" applyFont="1" applyBorder="1" applyAlignment="1">
      <alignment vertical="center"/>
    </xf>
    <xf numFmtId="0" fontId="23" fillId="0" borderId="28" xfId="3" applyFont="1" applyBorder="1"/>
    <xf numFmtId="0" fontId="23" fillId="0" borderId="35" xfId="3" applyFont="1" applyBorder="1"/>
    <xf numFmtId="0" fontId="23" fillId="18" borderId="24" xfId="3" applyFont="1" applyFill="1" applyBorder="1" applyAlignment="1">
      <alignment horizontal="center" vertical="center" wrapText="1"/>
    </xf>
    <xf numFmtId="0" fontId="23" fillId="19" borderId="48" xfId="3" applyFont="1" applyFill="1" applyBorder="1" applyAlignment="1">
      <alignment horizontal="center" vertical="center"/>
    </xf>
    <xf numFmtId="0" fontId="5" fillId="0" borderId="3" xfId="0" applyFont="1" applyBorder="1" applyAlignment="1">
      <alignment horizontal="left" vertical="center" wrapText="1"/>
    </xf>
    <xf numFmtId="0" fontId="11" fillId="6" borderId="8" xfId="0" applyFont="1" applyFill="1" applyBorder="1"/>
    <xf numFmtId="0" fontId="8" fillId="0" borderId="3" xfId="0" applyFont="1" applyBorder="1" applyAlignment="1">
      <alignment horizontal="left"/>
    </xf>
    <xf numFmtId="0" fontId="7" fillId="7" borderId="3" xfId="0" applyFont="1" applyFill="1" applyBorder="1" applyAlignment="1">
      <alignment horizontal="center" vertical="center"/>
    </xf>
    <xf numFmtId="0" fontId="11" fillId="6" borderId="3" xfId="0" applyFont="1" applyFill="1" applyBorder="1"/>
    <xf numFmtId="0" fontId="5" fillId="0" borderId="3" xfId="0" applyFont="1" applyBorder="1" applyAlignment="1">
      <alignment vertical="center" wrapText="1"/>
    </xf>
    <xf numFmtId="166" fontId="16" fillId="0" borderId="15" xfId="2" applyNumberFormat="1" applyFont="1" applyBorder="1" applyAlignment="1">
      <alignment vertical="center" wrapText="1"/>
    </xf>
    <xf numFmtId="166" fontId="5" fillId="0" borderId="3" xfId="2" applyNumberFormat="1" applyFont="1" applyBorder="1" applyAlignment="1">
      <alignment vertical="center" wrapText="1"/>
    </xf>
    <xf numFmtId="166" fontId="16" fillId="0" borderId="3" xfId="2" applyNumberFormat="1" applyFont="1" applyBorder="1" applyAlignment="1">
      <alignment vertical="center" wrapText="1"/>
    </xf>
    <xf numFmtId="0" fontId="5" fillId="0" borderId="75" xfId="0" applyFont="1" applyBorder="1" applyAlignment="1">
      <alignment vertical="center"/>
    </xf>
    <xf numFmtId="0" fontId="7" fillId="7" borderId="6" xfId="0" applyFont="1" applyFill="1" applyBorder="1" applyAlignment="1">
      <alignment vertical="center"/>
    </xf>
    <xf numFmtId="43" fontId="5" fillId="0" borderId="48" xfId="0" applyNumberFormat="1" applyFont="1" applyBorder="1"/>
    <xf numFmtId="43" fontId="5" fillId="0" borderId="78" xfId="2" applyFont="1" applyBorder="1" applyAlignment="1">
      <alignment vertical="center"/>
    </xf>
    <xf numFmtId="0" fontId="5" fillId="0" borderId="78" xfId="0" applyFont="1" applyBorder="1" applyAlignment="1">
      <alignment vertical="center"/>
    </xf>
    <xf numFmtId="0" fontId="8" fillId="0" borderId="79" xfId="0" applyFont="1" applyBorder="1" applyAlignment="1">
      <alignment vertical="center" wrapText="1"/>
    </xf>
    <xf numFmtId="0" fontId="5" fillId="0" borderId="48" xfId="0" applyFont="1" applyBorder="1"/>
    <xf numFmtId="0" fontId="5" fillId="0" borderId="86" xfId="0" applyFont="1" applyBorder="1" applyAlignment="1">
      <alignment vertical="center" wrapText="1"/>
    </xf>
    <xf numFmtId="0" fontId="5" fillId="0" borderId="91" xfId="0" applyFont="1" applyBorder="1" applyAlignment="1">
      <alignment vertical="center" wrapText="1"/>
    </xf>
    <xf numFmtId="167" fontId="33" fillId="0" borderId="48" xfId="0" applyNumberFormat="1" applyFont="1" applyBorder="1"/>
    <xf numFmtId="166" fontId="5" fillId="3" borderId="27" xfId="2" applyNumberFormat="1" applyFont="1" applyFill="1" applyBorder="1" applyAlignment="1">
      <alignment vertical="center" wrapText="1"/>
    </xf>
    <xf numFmtId="2" fontId="0" fillId="0" borderId="0" xfId="0" applyNumberFormat="1"/>
    <xf numFmtId="168" fontId="0" fillId="0" borderId="0" xfId="0" applyNumberFormat="1"/>
    <xf numFmtId="169" fontId="5" fillId="0" borderId="48" xfId="0" applyNumberFormat="1" applyFont="1" applyBorder="1"/>
    <xf numFmtId="2" fontId="5" fillId="0" borderId="48" xfId="0" applyNumberFormat="1" applyFont="1" applyBorder="1"/>
    <xf numFmtId="0" fontId="35" fillId="20" borderId="89" xfId="5" applyFont="1" applyBorder="1"/>
    <xf numFmtId="0" fontId="35" fillId="20" borderId="48" xfId="5" applyFont="1" applyBorder="1"/>
    <xf numFmtId="0" fontId="35" fillId="20" borderId="48" xfId="5" applyFont="1" applyBorder="1" applyAlignment="1">
      <alignment horizontal="center"/>
    </xf>
    <xf numFmtId="0" fontId="2" fillId="20" borderId="48" xfId="5" applyBorder="1"/>
    <xf numFmtId="0" fontId="2" fillId="20" borderId="48" xfId="5" applyBorder="1" applyAlignment="1">
      <alignment horizontal="center"/>
    </xf>
    <xf numFmtId="0" fontId="35" fillId="21" borderId="48" xfId="0" applyFont="1" applyFill="1" applyBorder="1" applyAlignment="1">
      <alignment horizontal="center"/>
    </xf>
    <xf numFmtId="2" fontId="35" fillId="20" borderId="48" xfId="5" applyNumberFormat="1" applyFont="1" applyBorder="1" applyAlignment="1">
      <alignment horizontal="center"/>
    </xf>
    <xf numFmtId="0" fontId="5" fillId="0" borderId="54" xfId="0" applyFont="1" applyBorder="1"/>
    <xf numFmtId="0" fontId="5" fillId="0" borderId="55" xfId="0" applyFont="1" applyBorder="1"/>
    <xf numFmtId="0" fontId="5" fillId="0" borderId="26" xfId="0" applyFont="1" applyBorder="1"/>
    <xf numFmtId="0" fontId="5" fillId="0" borderId="27" xfId="0" applyFont="1" applyBorder="1"/>
    <xf numFmtId="0" fontId="5" fillId="0" borderId="28" xfId="0" applyFont="1" applyBorder="1"/>
    <xf numFmtId="0" fontId="37" fillId="0" borderId="48" xfId="3" applyFont="1" applyBorder="1" applyAlignment="1">
      <alignment horizontal="center" vertical="center"/>
    </xf>
    <xf numFmtId="0" fontId="23" fillId="3" borderId="48" xfId="3" applyFont="1" applyFill="1" applyBorder="1"/>
    <xf numFmtId="2" fontId="23" fillId="19" borderId="48" xfId="3" applyNumberFormat="1" applyFont="1" applyFill="1" applyBorder="1" applyAlignment="1">
      <alignment horizontal="center" vertical="center"/>
    </xf>
    <xf numFmtId="0" fontId="23" fillId="0" borderId="12" xfId="3" applyFont="1" applyBorder="1" applyAlignment="1">
      <alignment horizontal="center" vertical="center" wrapText="1"/>
    </xf>
    <xf numFmtId="0" fontId="23" fillId="0" borderId="13" xfId="3" applyFont="1" applyBorder="1" applyAlignment="1">
      <alignment horizontal="center" vertical="center"/>
    </xf>
    <xf numFmtId="0" fontId="23" fillId="3" borderId="48" xfId="3" applyFont="1" applyFill="1" applyBorder="1" applyAlignment="1">
      <alignment horizontal="left"/>
    </xf>
    <xf numFmtId="14" fontId="23" fillId="3" borderId="48" xfId="3" applyNumberFormat="1" applyFont="1" applyFill="1" applyBorder="1"/>
    <xf numFmtId="14" fontId="38" fillId="3" borderId="48" xfId="3" applyNumberFormat="1" applyFont="1" applyFill="1" applyBorder="1"/>
    <xf numFmtId="0" fontId="38" fillId="0" borderId="24" xfId="3" applyFont="1" applyBorder="1" applyAlignment="1">
      <alignment horizontal="center" vertical="center"/>
    </xf>
    <xf numFmtId="0" fontId="23" fillId="0" borderId="87" xfId="3" applyFont="1" applyBorder="1"/>
    <xf numFmtId="0" fontId="23" fillId="0" borderId="89" xfId="3" applyFont="1" applyBorder="1"/>
    <xf numFmtId="0" fontId="23" fillId="0" borderId="97" xfId="3" applyFont="1" applyBorder="1"/>
    <xf numFmtId="0" fontId="23" fillId="0" borderId="98" xfId="3" applyFont="1" applyBorder="1"/>
    <xf numFmtId="0" fontId="23" fillId="0" borderId="83" xfId="3" applyFont="1" applyBorder="1"/>
    <xf numFmtId="0" fontId="23" fillId="0" borderId="78" xfId="3" applyFont="1" applyBorder="1"/>
    <xf numFmtId="14" fontId="38" fillId="3" borderId="78" xfId="3" applyNumberFormat="1" applyFont="1" applyFill="1" applyBorder="1"/>
    <xf numFmtId="0" fontId="23" fillId="0" borderId="110" xfId="3" applyFont="1" applyBorder="1"/>
    <xf numFmtId="43" fontId="5" fillId="0" borderId="3" xfId="0" applyNumberFormat="1" applyFont="1" applyBorder="1"/>
    <xf numFmtId="0" fontId="39" fillId="0" borderId="3" xfId="0" applyFont="1" applyBorder="1"/>
    <xf numFmtId="4" fontId="0" fillId="0" borderId="0" xfId="0" applyNumberFormat="1"/>
    <xf numFmtId="4" fontId="39" fillId="0" borderId="3" xfId="0" applyNumberFormat="1" applyFont="1" applyBorder="1" applyAlignment="1">
      <alignment horizontal="center"/>
    </xf>
    <xf numFmtId="14" fontId="40" fillId="22" borderId="48" xfId="0" applyNumberFormat="1" applyFont="1" applyFill="1" applyBorder="1"/>
    <xf numFmtId="14" fontId="40" fillId="23" borderId="48" xfId="0" applyNumberFormat="1" applyFont="1" applyFill="1" applyBorder="1"/>
    <xf numFmtId="0" fontId="39" fillId="24" borderId="48" xfId="0" applyFont="1" applyFill="1" applyBorder="1"/>
    <xf numFmtId="0" fontId="31" fillId="0" borderId="24" xfId="0" applyFont="1" applyBorder="1" applyAlignment="1">
      <alignment vertical="center"/>
    </xf>
    <xf numFmtId="0" fontId="42" fillId="0" borderId="35" xfId="0" applyFont="1" applyBorder="1" applyAlignment="1">
      <alignment horizontal="left" vertical="center" wrapText="1"/>
    </xf>
    <xf numFmtId="0" fontId="8" fillId="18" borderId="34" xfId="0" applyFont="1" applyFill="1" applyBorder="1" applyAlignment="1">
      <alignment horizontal="left" vertical="center"/>
    </xf>
    <xf numFmtId="9" fontId="21" fillId="18" borderId="17" xfId="0" applyNumberFormat="1" applyFont="1" applyFill="1" applyBorder="1" applyAlignment="1">
      <alignment horizontal="left" vertical="center"/>
    </xf>
    <xf numFmtId="0" fontId="8" fillId="18" borderId="17" xfId="0" applyFont="1" applyFill="1" applyBorder="1" applyAlignment="1">
      <alignment horizontal="left" vertical="center"/>
    </xf>
    <xf numFmtId="0" fontId="8" fillId="18" borderId="18" xfId="0" applyFont="1" applyFill="1" applyBorder="1" applyAlignment="1">
      <alignment horizontal="left" vertical="center"/>
    </xf>
    <xf numFmtId="2" fontId="6" fillId="0" borderId="0" xfId="0" applyNumberFormat="1" applyFont="1"/>
    <xf numFmtId="0" fontId="42" fillId="0" borderId="35" xfId="0" applyFont="1" applyBorder="1" applyAlignment="1">
      <alignment vertical="center" wrapText="1"/>
    </xf>
    <xf numFmtId="0" fontId="0" fillId="3" borderId="0" xfId="0" applyFill="1"/>
    <xf numFmtId="0" fontId="0" fillId="3" borderId="0" xfId="0" applyFill="1" applyAlignment="1">
      <alignment vertical="center"/>
    </xf>
    <xf numFmtId="0" fontId="35" fillId="3" borderId="0" xfId="0" applyFont="1" applyFill="1" applyAlignment="1">
      <alignment horizontal="center" vertical="center"/>
    </xf>
    <xf numFmtId="0" fontId="17" fillId="3" borderId="0" xfId="0" applyFont="1" applyFill="1"/>
    <xf numFmtId="0" fontId="35" fillId="3" borderId="3" xfId="0" applyFont="1" applyFill="1" applyBorder="1" applyAlignment="1">
      <alignment horizontal="center" wrapText="1"/>
    </xf>
    <xf numFmtId="0" fontId="35" fillId="3" borderId="3" xfId="0" applyFont="1" applyFill="1" applyBorder="1" applyAlignment="1">
      <alignment horizontal="center"/>
    </xf>
    <xf numFmtId="0" fontId="35" fillId="3" borderId="3" xfId="0" applyFont="1" applyFill="1" applyBorder="1" applyAlignment="1">
      <alignment wrapText="1"/>
    </xf>
    <xf numFmtId="0" fontId="35" fillId="3" borderId="3" xfId="0" applyFont="1" applyFill="1" applyBorder="1"/>
    <xf numFmtId="0" fontId="0" fillId="3" borderId="0" xfId="0" applyFill="1" applyAlignment="1">
      <alignment horizontal="center"/>
    </xf>
    <xf numFmtId="43" fontId="5" fillId="0" borderId="78" xfId="0" applyNumberFormat="1" applyFont="1" applyBorder="1" applyAlignment="1">
      <alignment vertical="center"/>
    </xf>
    <xf numFmtId="43" fontId="5" fillId="3" borderId="48" xfId="2" applyFont="1" applyFill="1" applyBorder="1" applyAlignment="1">
      <alignment vertical="center"/>
    </xf>
    <xf numFmtId="170" fontId="23" fillId="0" borderId="90" xfId="3" applyNumberFormat="1" applyFont="1" applyBorder="1" applyAlignment="1">
      <alignment horizontal="center" vertical="center"/>
    </xf>
    <xf numFmtId="171" fontId="23" fillId="3" borderId="90" xfId="3" applyNumberFormat="1" applyFont="1" applyFill="1" applyBorder="1" applyAlignment="1">
      <alignment horizontal="center" vertical="center"/>
    </xf>
    <xf numFmtId="170" fontId="23" fillId="3" borderId="90" xfId="3" applyNumberFormat="1" applyFont="1" applyFill="1" applyBorder="1" applyAlignment="1">
      <alignment horizontal="center" vertical="center"/>
    </xf>
    <xf numFmtId="0" fontId="1" fillId="25" borderId="48" xfId="6" applyBorder="1" applyAlignment="1">
      <alignment horizontal="center" vertical="center" wrapText="1"/>
    </xf>
    <xf numFmtId="0" fontId="1" fillId="25" borderId="48" xfId="6" applyBorder="1" applyAlignment="1">
      <alignment horizontal="center" vertical="center"/>
    </xf>
    <xf numFmtId="0" fontId="1" fillId="25" borderId="98" xfId="6" applyBorder="1" applyAlignment="1">
      <alignment horizontal="center" vertical="center"/>
    </xf>
    <xf numFmtId="0" fontId="1" fillId="25" borderId="113" xfId="6" applyBorder="1" applyAlignment="1">
      <alignment horizontal="center"/>
    </xf>
    <xf numFmtId="0" fontId="1" fillId="25" borderId="112" xfId="6" applyBorder="1" applyAlignment="1">
      <alignment horizontal="center"/>
    </xf>
    <xf numFmtId="0" fontId="35" fillId="25" borderId="78" xfId="6" applyFont="1" applyBorder="1" applyAlignment="1">
      <alignment vertical="center" wrapText="1"/>
    </xf>
    <xf numFmtId="0" fontId="35" fillId="25" borderId="48" xfId="6" applyFont="1" applyBorder="1" applyAlignment="1">
      <alignment vertical="center" wrapText="1"/>
    </xf>
    <xf numFmtId="0" fontId="0" fillId="3" borderId="3" xfId="0" applyFill="1" applyBorder="1"/>
    <xf numFmtId="0" fontId="5" fillId="3" borderId="0" xfId="0" applyFont="1" applyFill="1"/>
    <xf numFmtId="0" fontId="8" fillId="3" borderId="3" xfId="0" applyFont="1" applyFill="1" applyBorder="1"/>
    <xf numFmtId="0" fontId="15" fillId="3" borderId="0" xfId="0" applyFont="1" applyFill="1"/>
    <xf numFmtId="166" fontId="8" fillId="0" borderId="24" xfId="0" applyNumberFormat="1" applyFont="1" applyFill="1" applyBorder="1" applyAlignment="1">
      <alignment vertical="center" wrapText="1"/>
    </xf>
    <xf numFmtId="0" fontId="7" fillId="6" borderId="37" xfId="0" applyFont="1" applyFill="1" applyBorder="1" applyAlignment="1">
      <alignment horizontal="center" wrapText="1"/>
    </xf>
    <xf numFmtId="0" fontId="7" fillId="6" borderId="39" xfId="0" applyFont="1" applyFill="1" applyBorder="1" applyAlignment="1">
      <alignment horizont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79"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7" fillId="4" borderId="10"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44" xfId="0" applyFont="1" applyFill="1" applyBorder="1" applyAlignment="1">
      <alignment horizontal="center" vertical="center"/>
    </xf>
    <xf numFmtId="0" fontId="8" fillId="5" borderId="19"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8" fillId="2" borderId="20" xfId="0" applyFont="1" applyFill="1" applyBorder="1" applyAlignment="1"/>
    <xf numFmtId="0" fontId="8" fillId="2" borderId="21" xfId="0" applyFont="1" applyFill="1" applyBorder="1" applyAlignment="1"/>
    <xf numFmtId="0" fontId="7" fillId="4" borderId="63" xfId="0" applyFont="1" applyFill="1" applyBorder="1" applyAlignment="1">
      <alignment horizontal="center" vertical="center" wrapText="1"/>
    </xf>
    <xf numFmtId="0" fontId="8" fillId="2" borderId="29" xfId="0" applyFont="1" applyFill="1" applyBorder="1" applyAlignment="1"/>
    <xf numFmtId="0" fontId="8" fillId="2" borderId="45" xfId="0" applyFont="1" applyFill="1" applyBorder="1" applyAlignment="1"/>
    <xf numFmtId="0" fontId="7" fillId="4" borderId="40"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8" borderId="68" xfId="0" applyFont="1" applyFill="1" applyBorder="1" applyAlignment="1">
      <alignment horizontal="center" vertical="center"/>
    </xf>
    <xf numFmtId="0" fontId="8" fillId="9" borderId="1" xfId="0" applyFont="1" applyFill="1" applyBorder="1" applyAlignment="1"/>
    <xf numFmtId="0" fontId="8" fillId="9" borderId="43" xfId="0" applyFont="1" applyFill="1" applyBorder="1" applyAlignment="1"/>
    <xf numFmtId="0" fontId="7" fillId="4" borderId="65" xfId="0" applyFont="1" applyFill="1" applyBorder="1" applyAlignment="1">
      <alignment horizontal="center" vertical="center" wrapText="1"/>
    </xf>
    <xf numFmtId="0" fontId="8" fillId="2" borderId="51" xfId="0" applyFont="1" applyFill="1" applyBorder="1" applyAlignment="1"/>
    <xf numFmtId="0" fontId="8" fillId="2" borderId="66" xfId="0" applyFont="1" applyFill="1" applyBorder="1" applyAlignment="1"/>
    <xf numFmtId="0" fontId="8" fillId="0" borderId="9" xfId="0" applyFont="1" applyBorder="1" applyAlignment="1">
      <alignment horizontal="left" vertical="center" wrapText="1"/>
    </xf>
    <xf numFmtId="0" fontId="5" fillId="0" borderId="14" xfId="0" applyFont="1" applyBorder="1" applyAlignment="1">
      <alignment horizontal="left" vertical="center" wrapText="1"/>
    </xf>
    <xf numFmtId="0" fontId="7" fillId="4" borderId="67"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0" xfId="0" applyFont="1" applyFill="1" applyBorder="1" applyAlignment="1">
      <alignment horizontal="center" vertical="center" wrapText="1"/>
    </xf>
    <xf numFmtId="0" fontId="8" fillId="2" borderId="32" xfId="0" applyFont="1" applyFill="1" applyBorder="1" applyAlignment="1"/>
    <xf numFmtId="0" fontId="8" fillId="2" borderId="44" xfId="0" applyFont="1" applyFill="1" applyBorder="1" applyAlignment="1"/>
    <xf numFmtId="0" fontId="12" fillId="0" borderId="21" xfId="0" applyFont="1" applyBorder="1" applyAlignment="1">
      <alignment horizontal="left" vertical="center" wrapText="1"/>
    </xf>
    <xf numFmtId="0" fontId="7" fillId="4" borderId="31" xfId="0" applyFont="1" applyFill="1" applyBorder="1" applyAlignment="1">
      <alignment horizontal="center" vertical="center" wrapText="1"/>
    </xf>
    <xf numFmtId="0" fontId="8" fillId="2" borderId="33" xfId="0" applyFont="1" applyFill="1" applyBorder="1" applyAlignment="1"/>
    <xf numFmtId="0" fontId="8" fillId="2" borderId="41" xfId="0" applyFont="1" applyFill="1" applyBorder="1" applyAlignment="1"/>
    <xf numFmtId="0" fontId="8" fillId="2" borderId="4" xfId="0" applyFont="1" applyFill="1" applyBorder="1" applyAlignment="1"/>
    <xf numFmtId="0" fontId="8" fillId="2" borderId="22" xfId="0" applyFont="1" applyFill="1" applyBorder="1" applyAlignment="1"/>
    <xf numFmtId="0" fontId="44" fillId="0" borderId="19"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31" fillId="0" borderId="19" xfId="0" applyFont="1" applyBorder="1" applyAlignment="1">
      <alignment horizontal="left" vertical="center" wrapText="1"/>
    </xf>
    <xf numFmtId="0" fontId="7" fillId="4" borderId="33"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42" fillId="0" borderId="19"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9" fillId="13" borderId="37" xfId="0" applyFont="1" applyFill="1" applyBorder="1" applyAlignment="1">
      <alignment horizontal="center" vertical="center"/>
    </xf>
    <xf numFmtId="0" fontId="8" fillId="14" borderId="38" xfId="0" applyFont="1" applyFill="1" applyBorder="1" applyAlignment="1"/>
    <xf numFmtId="0" fontId="7" fillId="7" borderId="5" xfId="0" applyFont="1" applyFill="1" applyBorder="1" applyAlignment="1">
      <alignment horizontal="center" vertical="center"/>
    </xf>
    <xf numFmtId="0" fontId="11" fillId="6" borderId="6" xfId="0" applyFont="1" applyFill="1" applyBorder="1" applyAlignment="1"/>
    <xf numFmtId="0" fontId="7" fillId="7" borderId="7" xfId="0" applyFont="1" applyFill="1" applyBorder="1" applyAlignment="1">
      <alignment horizontal="center" vertical="center"/>
    </xf>
    <xf numFmtId="0" fontId="11" fillId="6" borderId="8" xfId="0" applyFont="1" applyFill="1" applyBorder="1" applyAlignment="1"/>
    <xf numFmtId="0" fontId="5" fillId="0" borderId="7" xfId="0" applyFont="1" applyBorder="1" applyAlignment="1">
      <alignment horizontal="left" vertical="center" wrapText="1"/>
    </xf>
    <xf numFmtId="0" fontId="8" fillId="0" borderId="8" xfId="0" applyFont="1" applyBorder="1" applyAlignment="1">
      <alignment horizontal="left"/>
    </xf>
    <xf numFmtId="0" fontId="8" fillId="0" borderId="2" xfId="0" applyFont="1" applyBorder="1" applyAlignment="1">
      <alignment horizontal="left"/>
    </xf>
    <xf numFmtId="0" fontId="5" fillId="0" borderId="0" xfId="0" applyFont="1" applyAlignment="1">
      <alignment horizontal="left"/>
    </xf>
    <xf numFmtId="0" fontId="42"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7" fillId="7" borderId="14" xfId="0" applyFont="1" applyFill="1" applyBorder="1" applyAlignment="1">
      <alignment horizontal="center" vertical="center"/>
    </xf>
    <xf numFmtId="0" fontId="7" fillId="7" borderId="15" xfId="0" applyFont="1" applyFill="1" applyBorder="1" applyAlignment="1">
      <alignment horizontal="center" vertical="center"/>
    </xf>
    <xf numFmtId="0" fontId="15" fillId="0" borderId="77" xfId="0" applyFont="1" applyBorder="1" applyAlignment="1">
      <alignment horizontal="left" vertical="center" wrapText="1"/>
    </xf>
    <xf numFmtId="0" fontId="15" fillId="0" borderId="80" xfId="0" applyFont="1" applyBorder="1" applyAlignment="1">
      <alignment horizontal="left" vertical="center" wrapText="1"/>
    </xf>
    <xf numFmtId="0" fontId="7" fillId="7" borderId="9" xfId="0" applyFont="1" applyFill="1" applyBorder="1" applyAlignment="1">
      <alignment horizontal="center" vertical="center"/>
    </xf>
    <xf numFmtId="0" fontId="11" fillId="6" borderId="10" xfId="0" applyFont="1" applyFill="1" applyBorder="1" applyAlignment="1"/>
    <xf numFmtId="0" fontId="11" fillId="6" borderId="11" xfId="0" applyFont="1" applyFill="1" applyBorder="1" applyAlignment="1"/>
    <xf numFmtId="0" fontId="7" fillId="7" borderId="37" xfId="0" applyFont="1" applyFill="1" applyBorder="1" applyAlignment="1">
      <alignment horizontal="center" vertical="center"/>
    </xf>
    <xf numFmtId="0" fontId="7" fillId="7" borderId="38" xfId="0" applyFont="1" applyFill="1" applyBorder="1" applyAlignment="1">
      <alignment horizontal="center" vertical="center"/>
    </xf>
    <xf numFmtId="0" fontId="7" fillId="7" borderId="39" xfId="0" applyFont="1" applyFill="1" applyBorder="1" applyAlignment="1">
      <alignment horizontal="center" vertical="center"/>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7" fillId="7" borderId="1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13"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3" xfId="0" applyFont="1" applyFill="1" applyBorder="1" applyAlignment="1">
      <alignment horizontal="center" vertical="center" wrapText="1"/>
    </xf>
    <xf numFmtId="2" fontId="5" fillId="0" borderId="12"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0" fontId="8" fillId="0" borderId="10" xfId="0" applyFont="1" applyBorder="1" applyAlignment="1">
      <alignment horizontal="left"/>
    </xf>
    <xf numFmtId="0" fontId="8" fillId="0" borderId="11" xfId="0" applyFont="1" applyBorder="1" applyAlignment="1">
      <alignment horizontal="left"/>
    </xf>
    <xf numFmtId="0" fontId="8" fillId="0" borderId="14"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166" fontId="5" fillId="0" borderId="87" xfId="2" applyNumberFormat="1" applyFont="1" applyBorder="1" applyAlignment="1">
      <alignment horizontal="center" vertical="center" wrapText="1"/>
    </xf>
    <xf numFmtId="166" fontId="5" fillId="0" borderId="89" xfId="2" applyNumberFormat="1" applyFont="1" applyBorder="1" applyAlignment="1">
      <alignment horizontal="center" vertical="center" wrapText="1"/>
    </xf>
    <xf numFmtId="166" fontId="5" fillId="0" borderId="90" xfId="2" applyNumberFormat="1" applyFont="1" applyBorder="1" applyAlignment="1">
      <alignment horizontal="center" vertical="center" wrapText="1"/>
    </xf>
    <xf numFmtId="0" fontId="7" fillId="7" borderId="6" xfId="0" applyFont="1" applyFill="1" applyBorder="1" applyAlignment="1">
      <alignment horizontal="center" vertical="center"/>
    </xf>
    <xf numFmtId="0" fontId="7" fillId="7" borderId="49" xfId="0" applyFont="1" applyFill="1" applyBorder="1" applyAlignment="1">
      <alignment horizontal="center" vertical="center"/>
    </xf>
    <xf numFmtId="0" fontId="6" fillId="0" borderId="98" xfId="0" applyFont="1" applyBorder="1" applyAlignment="1">
      <alignment horizontal="center" vertical="center"/>
    </xf>
    <xf numFmtId="0" fontId="6" fillId="0" borderId="100" xfId="0" applyFont="1" applyBorder="1" applyAlignment="1">
      <alignment horizontal="center" vertical="center"/>
    </xf>
    <xf numFmtId="0" fontId="6" fillId="0" borderId="89" xfId="0" applyFont="1" applyBorder="1" applyAlignment="1">
      <alignment horizontal="center" vertical="center"/>
    </xf>
    <xf numFmtId="43" fontId="5" fillId="0" borderId="59" xfId="0" applyNumberFormat="1" applyFont="1" applyBorder="1" applyAlignment="1">
      <alignment vertical="center" wrapText="1"/>
    </xf>
    <xf numFmtId="0" fontId="5" fillId="0" borderId="60" xfId="0" applyFont="1" applyBorder="1" applyAlignment="1">
      <alignment vertical="center" wrapText="1"/>
    </xf>
    <xf numFmtId="0" fontId="5" fillId="0" borderId="25"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166" fontId="5" fillId="0" borderId="24" xfId="2" applyNumberFormat="1" applyFont="1" applyBorder="1" applyAlignment="1">
      <alignment horizontal="center" vertical="center" wrapText="1"/>
    </xf>
    <xf numFmtId="166" fontId="5" fillId="0" borderId="48" xfId="2" applyNumberFormat="1" applyFont="1" applyBorder="1" applyAlignment="1">
      <alignment horizontal="center" vertical="center" wrapText="1"/>
    </xf>
    <xf numFmtId="166" fontId="5" fillId="0" borderId="27" xfId="2" applyNumberFormat="1" applyFont="1" applyBorder="1" applyAlignment="1">
      <alignment horizontal="center" vertical="center" wrapText="1"/>
    </xf>
    <xf numFmtId="166" fontId="5" fillId="0" borderId="97" xfId="2" applyNumberFormat="1" applyFont="1" applyBorder="1" applyAlignment="1">
      <alignment horizontal="center" vertical="center" wrapText="1"/>
    </xf>
    <xf numFmtId="166" fontId="5" fillId="0" borderId="98" xfId="2" applyNumberFormat="1" applyFont="1" applyBorder="1" applyAlignment="1">
      <alignment horizontal="center" vertical="center" wrapText="1"/>
    </xf>
    <xf numFmtId="166" fontId="5" fillId="0" borderId="96" xfId="2" applyNumberFormat="1" applyFont="1" applyBorder="1" applyAlignment="1">
      <alignment horizontal="center" vertical="center" wrapText="1"/>
    </xf>
    <xf numFmtId="166" fontId="5" fillId="0" borderId="104" xfId="2" applyNumberFormat="1" applyFont="1" applyBorder="1" applyAlignment="1">
      <alignment horizontal="center" vertical="center" wrapText="1"/>
    </xf>
    <xf numFmtId="166" fontId="5" fillId="0" borderId="105" xfId="2" applyNumberFormat="1" applyFont="1" applyBorder="1" applyAlignment="1">
      <alignment horizontal="center" vertical="center" wrapText="1"/>
    </xf>
    <xf numFmtId="166" fontId="5" fillId="0" borderId="106" xfId="2" applyNumberFormat="1" applyFont="1" applyBorder="1" applyAlignment="1">
      <alignment horizontal="center" vertical="center" wrapText="1"/>
    </xf>
    <xf numFmtId="0" fontId="5" fillId="0" borderId="99" xfId="0" applyFont="1" applyBorder="1" applyAlignment="1">
      <alignment horizontal="center" vertical="center" wrapText="1"/>
    </xf>
    <xf numFmtId="0" fontId="5" fillId="0" borderId="58" xfId="0" applyFont="1" applyBorder="1" applyAlignment="1">
      <alignment horizontal="left" vertical="center" wrapText="1"/>
    </xf>
    <xf numFmtId="0" fontId="5" fillId="0" borderId="50" xfId="0" applyFont="1" applyBorder="1" applyAlignment="1">
      <alignment horizontal="left" vertical="center" wrapText="1"/>
    </xf>
    <xf numFmtId="0" fontId="6" fillId="0" borderId="78" xfId="0" applyFont="1" applyBorder="1" applyAlignment="1">
      <alignment horizontal="center" vertical="center"/>
    </xf>
    <xf numFmtId="0" fontId="6" fillId="0" borderId="74" xfId="0" applyFont="1" applyBorder="1" applyAlignment="1">
      <alignment horizontal="center" vertical="center"/>
    </xf>
    <xf numFmtId="0" fontId="31" fillId="0" borderId="9" xfId="0" applyFont="1" applyBorder="1" applyAlignment="1">
      <alignment horizontal="left"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7" fillId="7" borderId="23"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25" xfId="0" applyFont="1" applyFill="1" applyBorder="1" applyAlignment="1">
      <alignment horizontal="center" vertical="center"/>
    </xf>
    <xf numFmtId="0" fontId="7" fillId="7" borderId="54" xfId="0" applyFont="1" applyFill="1" applyBorder="1" applyAlignment="1">
      <alignment horizontal="center" vertical="center"/>
    </xf>
    <xf numFmtId="0" fontId="11" fillId="6" borderId="48" xfId="0" applyFont="1" applyFill="1" applyBorder="1" applyAlignment="1"/>
    <xf numFmtId="0" fontId="11" fillId="6" borderId="55" xfId="0" applyFont="1" applyFill="1" applyBorder="1" applyAlignment="1"/>
    <xf numFmtId="0" fontId="7" fillId="7" borderId="48" xfId="0" applyFont="1" applyFill="1" applyBorder="1" applyAlignment="1">
      <alignment horizontal="center" vertical="center"/>
    </xf>
    <xf numFmtId="0" fontId="7" fillId="7" borderId="55" xfId="0" applyFont="1" applyFill="1" applyBorder="1" applyAlignment="1">
      <alignment horizontal="center" vertical="center"/>
    </xf>
    <xf numFmtId="0" fontId="7" fillId="7" borderId="101" xfId="0" applyFont="1" applyFill="1" applyBorder="1" applyAlignment="1">
      <alignment horizontal="center" vertical="center"/>
    </xf>
    <xf numFmtId="0" fontId="7" fillId="7" borderId="102" xfId="0" applyFont="1" applyFill="1" applyBorder="1" applyAlignment="1">
      <alignment horizontal="center" vertical="center"/>
    </xf>
    <xf numFmtId="0" fontId="7" fillId="7" borderId="103" xfId="0" applyFont="1" applyFill="1" applyBorder="1" applyAlignment="1">
      <alignment horizontal="center" vertical="center"/>
    </xf>
    <xf numFmtId="0" fontId="7" fillId="7" borderId="10" xfId="0"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77" xfId="0" applyFont="1" applyBorder="1" applyAlignment="1">
      <alignment horizontal="center" vertical="center"/>
    </xf>
    <xf numFmtId="0" fontId="6" fillId="0" borderId="81" xfId="0" applyFont="1" applyBorder="1" applyAlignment="1">
      <alignment horizontal="center" vertical="center"/>
    </xf>
    <xf numFmtId="0" fontId="6" fillId="0" borderId="73" xfId="0" applyFont="1" applyBorder="1" applyAlignment="1">
      <alignment horizontal="center" vertical="center"/>
    </xf>
    <xf numFmtId="0" fontId="6" fillId="0" borderId="78" xfId="0" applyFont="1" applyBorder="1" applyAlignment="1">
      <alignment horizontal="left" vertical="center"/>
    </xf>
    <xf numFmtId="0" fontId="6" fillId="0" borderId="74" xfId="0" applyFont="1" applyBorder="1" applyAlignment="1">
      <alignment horizontal="left" vertical="center"/>
    </xf>
    <xf numFmtId="0" fontId="15" fillId="26" borderId="10" xfId="0" applyFont="1" applyFill="1" applyBorder="1" applyAlignment="1">
      <alignment horizontal="center" vertical="center"/>
    </xf>
    <xf numFmtId="0" fontId="5" fillId="0" borderId="79" xfId="0" applyFont="1" applyBorder="1" applyAlignment="1">
      <alignment horizontal="left" vertical="center"/>
    </xf>
    <xf numFmtId="0" fontId="5" fillId="0" borderId="85" xfId="0" applyFont="1" applyBorder="1" applyAlignment="1">
      <alignment horizontal="left" vertical="center"/>
    </xf>
    <xf numFmtId="0" fontId="5" fillId="0" borderId="75" xfId="0" applyFont="1" applyBorder="1" applyAlignment="1">
      <alignment horizontal="left"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14" xfId="0" applyFont="1" applyBorder="1" applyAlignment="1">
      <alignment horizontal="center" vertical="center"/>
    </xf>
    <xf numFmtId="0" fontId="6" fillId="0" borderId="84" xfId="0" applyFont="1" applyBorder="1" applyAlignment="1">
      <alignment horizontal="center" vertical="center"/>
    </xf>
    <xf numFmtId="0" fontId="6" fillId="0" borderId="0" xfId="0" applyFont="1" applyAlignment="1">
      <alignment horizontal="center"/>
    </xf>
    <xf numFmtId="0" fontId="23" fillId="0" borderId="9" xfId="3" applyFont="1" applyBorder="1" applyAlignment="1">
      <alignment horizontal="center" vertical="center" wrapText="1"/>
    </xf>
    <xf numFmtId="0" fontId="23" fillId="0" borderId="10" xfId="3" applyFont="1" applyBorder="1" applyAlignment="1">
      <alignment horizontal="center" vertical="center" wrapText="1"/>
    </xf>
    <xf numFmtId="0" fontId="23" fillId="0" borderId="11" xfId="3" applyFont="1" applyBorder="1" applyAlignment="1">
      <alignment horizontal="center" vertical="center" wrapText="1"/>
    </xf>
    <xf numFmtId="0" fontId="23" fillId="0" borderId="12" xfId="3" applyFont="1" applyBorder="1" applyAlignment="1">
      <alignment horizontal="center" vertical="center" wrapText="1"/>
    </xf>
    <xf numFmtId="0" fontId="23" fillId="0" borderId="3" xfId="3" applyFont="1" applyAlignment="1">
      <alignment horizontal="center" vertical="center" wrapText="1"/>
    </xf>
    <xf numFmtId="0" fontId="23" fillId="0" borderId="13" xfId="3" applyFont="1" applyBorder="1" applyAlignment="1">
      <alignment horizontal="center" vertical="center" wrapText="1"/>
    </xf>
    <xf numFmtId="0" fontId="23" fillId="0" borderId="14" xfId="3" applyFont="1" applyBorder="1" applyAlignment="1">
      <alignment horizontal="center" vertical="center" wrapText="1"/>
    </xf>
    <xf numFmtId="0" fontId="23" fillId="0" borderId="15" xfId="3" applyFont="1" applyBorder="1" applyAlignment="1">
      <alignment horizontal="center" vertical="center" wrapText="1"/>
    </xf>
    <xf numFmtId="0" fontId="23" fillId="0" borderId="16" xfId="3" applyFont="1" applyBorder="1" applyAlignment="1">
      <alignment horizontal="center" vertical="center" wrapText="1"/>
    </xf>
    <xf numFmtId="0" fontId="26" fillId="15" borderId="37" xfId="3" applyFont="1" applyFill="1" applyBorder="1" applyAlignment="1">
      <alignment horizontal="center" vertical="center"/>
    </xf>
    <xf numFmtId="0" fontId="26" fillId="15" borderId="38" xfId="3" applyFont="1" applyFill="1" applyBorder="1" applyAlignment="1">
      <alignment horizontal="center" vertical="center"/>
    </xf>
    <xf numFmtId="0" fontId="26" fillId="15" borderId="39" xfId="3" applyFont="1" applyFill="1" applyBorder="1" applyAlignment="1">
      <alignment horizontal="center" vertical="center"/>
    </xf>
    <xf numFmtId="0" fontId="25" fillId="15" borderId="23" xfId="3" applyFont="1" applyFill="1" applyBorder="1" applyAlignment="1">
      <alignment horizontal="center" vertical="center"/>
    </xf>
    <xf numFmtId="0" fontId="25" fillId="15" borderId="24" xfId="3" applyFont="1" applyFill="1" applyBorder="1" applyAlignment="1">
      <alignment horizontal="center" vertical="center"/>
    </xf>
    <xf numFmtId="0" fontId="25" fillId="15" borderId="25" xfId="3" applyFont="1" applyFill="1" applyBorder="1" applyAlignment="1">
      <alignment horizontal="center" vertical="center"/>
    </xf>
    <xf numFmtId="0" fontId="25" fillId="15" borderId="54" xfId="3" applyFont="1" applyFill="1" applyBorder="1" applyAlignment="1">
      <alignment horizontal="center" vertical="center"/>
    </xf>
    <xf numFmtId="0" fontId="25" fillId="15" borderId="48" xfId="3" applyFont="1" applyFill="1" applyBorder="1" applyAlignment="1">
      <alignment horizontal="center" vertical="center"/>
    </xf>
    <xf numFmtId="0" fontId="25" fillId="15" borderId="55" xfId="3" applyFont="1" applyFill="1" applyBorder="1" applyAlignment="1">
      <alignment horizontal="center" vertical="center"/>
    </xf>
    <xf numFmtId="0" fontId="25" fillId="15" borderId="26" xfId="3" applyFont="1" applyFill="1" applyBorder="1" applyAlignment="1">
      <alignment horizontal="center" vertical="center"/>
    </xf>
    <xf numFmtId="0" fontId="25" fillId="15" borderId="27" xfId="3" applyFont="1" applyFill="1" applyBorder="1" applyAlignment="1">
      <alignment horizontal="center" vertical="center"/>
    </xf>
    <xf numFmtId="0" fontId="25" fillId="15" borderId="28" xfId="3" applyFont="1" applyFill="1" applyBorder="1" applyAlignment="1">
      <alignment horizontal="center" vertical="center"/>
    </xf>
    <xf numFmtId="0" fontId="26" fillId="0" borderId="37" xfId="3" applyFont="1" applyBorder="1" applyAlignment="1">
      <alignment horizontal="center"/>
    </xf>
    <xf numFmtId="0" fontId="26" fillId="0" borderId="38" xfId="3" applyFont="1" applyBorder="1" applyAlignment="1">
      <alignment horizontal="center"/>
    </xf>
    <xf numFmtId="0" fontId="26" fillId="0" borderId="39" xfId="3" applyFont="1" applyBorder="1" applyAlignment="1">
      <alignment horizontal="center"/>
    </xf>
    <xf numFmtId="0" fontId="24" fillId="6" borderId="10" xfId="3" applyFont="1" applyFill="1" applyBorder="1" applyAlignment="1">
      <alignment horizontal="center" vertical="center"/>
    </xf>
    <xf numFmtId="0" fontId="24" fillId="6" borderId="3" xfId="3" applyFont="1" applyFill="1" applyAlignment="1">
      <alignment horizontal="center" vertical="center"/>
    </xf>
    <xf numFmtId="0" fontId="24" fillId="6" borderId="15" xfId="3" applyFont="1" applyFill="1" applyBorder="1" applyAlignment="1">
      <alignment horizontal="center" vertical="center"/>
    </xf>
    <xf numFmtId="0" fontId="25" fillId="15" borderId="9" xfId="3" applyFont="1" applyFill="1" applyBorder="1" applyAlignment="1">
      <alignment horizontal="center" vertical="center"/>
    </xf>
    <xf numFmtId="0" fontId="25" fillId="15" borderId="10" xfId="3" applyFont="1" applyFill="1" applyBorder="1" applyAlignment="1">
      <alignment horizontal="center" vertical="center"/>
    </xf>
    <xf numFmtId="0" fontId="25" fillId="15" borderId="11" xfId="3" applyFont="1" applyFill="1" applyBorder="1" applyAlignment="1">
      <alignment horizontal="center" vertical="center"/>
    </xf>
    <xf numFmtId="0" fontId="25" fillId="15" borderId="12" xfId="3" applyFont="1" applyFill="1" applyBorder="1" applyAlignment="1">
      <alignment horizontal="center" vertical="center"/>
    </xf>
    <xf numFmtId="0" fontId="25" fillId="15" borderId="3" xfId="3" applyFont="1" applyFill="1" applyAlignment="1">
      <alignment horizontal="center" vertical="center"/>
    </xf>
    <xf numFmtId="0" fontId="25" fillId="15" borderId="13" xfId="3" applyFont="1" applyFill="1" applyBorder="1" applyAlignment="1">
      <alignment horizontal="center" vertical="center"/>
    </xf>
    <xf numFmtId="0" fontId="25" fillId="15" borderId="14" xfId="3" applyFont="1" applyFill="1" applyBorder="1" applyAlignment="1">
      <alignment horizontal="center" vertical="center"/>
    </xf>
    <xf numFmtId="0" fontId="25" fillId="15" borderId="15" xfId="3" applyFont="1" applyFill="1" applyBorder="1" applyAlignment="1">
      <alignment horizontal="center" vertical="center"/>
    </xf>
    <xf numFmtId="0" fontId="25" fillId="15" borderId="16" xfId="3" applyFont="1" applyFill="1" applyBorder="1" applyAlignment="1">
      <alignment horizontal="center" vertical="center"/>
    </xf>
    <xf numFmtId="0" fontId="26" fillId="15" borderId="37" xfId="3" applyFont="1" applyFill="1" applyBorder="1" applyAlignment="1">
      <alignment horizontal="center"/>
    </xf>
    <xf numFmtId="0" fontId="26" fillId="15" borderId="38" xfId="3" applyFont="1" applyFill="1" applyBorder="1" applyAlignment="1">
      <alignment horizontal="center"/>
    </xf>
    <xf numFmtId="0" fontId="26" fillId="15" borderId="39" xfId="3" applyFont="1" applyFill="1" applyBorder="1" applyAlignment="1">
      <alignment horizontal="center"/>
    </xf>
    <xf numFmtId="0" fontId="26" fillId="15" borderId="61" xfId="3" applyFont="1" applyFill="1" applyBorder="1" applyAlignment="1">
      <alignment horizontal="center" vertical="center"/>
    </xf>
    <xf numFmtId="0" fontId="26" fillId="15" borderId="76" xfId="3" applyFont="1" applyFill="1" applyBorder="1" applyAlignment="1">
      <alignment horizontal="center" vertical="center"/>
    </xf>
    <xf numFmtId="0" fontId="26" fillId="15" borderId="62" xfId="3" applyFont="1" applyFill="1" applyBorder="1" applyAlignment="1">
      <alignment horizontal="center" vertical="center"/>
    </xf>
    <xf numFmtId="0" fontId="26" fillId="15" borderId="15" xfId="3" applyFont="1" applyFill="1" applyBorder="1" applyAlignment="1">
      <alignment horizontal="center" vertical="center"/>
    </xf>
    <xf numFmtId="0" fontId="26" fillId="15" borderId="16" xfId="3" applyFont="1" applyFill="1" applyBorder="1" applyAlignment="1">
      <alignment horizontal="center" vertical="center"/>
    </xf>
    <xf numFmtId="0" fontId="23" fillId="15" borderId="37" xfId="3" applyFont="1" applyFill="1" applyBorder="1" applyAlignment="1">
      <alignment horizontal="center" vertical="center" wrapText="1"/>
    </xf>
    <xf numFmtId="0" fontId="23" fillId="15" borderId="38" xfId="3" applyFont="1" applyFill="1" applyBorder="1" applyAlignment="1">
      <alignment horizontal="center" vertical="center" wrapText="1"/>
    </xf>
    <xf numFmtId="0" fontId="23" fillId="15" borderId="39" xfId="3" applyFont="1" applyFill="1" applyBorder="1" applyAlignment="1">
      <alignment horizontal="center" vertical="center" wrapText="1"/>
    </xf>
    <xf numFmtId="2" fontId="23" fillId="0" borderId="89" xfId="3" applyNumberFormat="1" applyFont="1" applyBorder="1" applyAlignment="1">
      <alignment horizontal="center" vertical="center"/>
    </xf>
    <xf numFmtId="2" fontId="23" fillId="0" borderId="55" xfId="3" applyNumberFormat="1" applyFont="1" applyBorder="1" applyAlignment="1">
      <alignment horizontal="center" vertical="center"/>
    </xf>
    <xf numFmtId="2" fontId="23" fillId="0" borderId="90" xfId="3" applyNumberFormat="1" applyFont="1" applyBorder="1" applyAlignment="1">
      <alignment horizontal="center" vertical="center"/>
    </xf>
    <xf numFmtId="2" fontId="23" fillId="0" borderId="28" xfId="3" applyNumberFormat="1" applyFont="1" applyBorder="1" applyAlignment="1">
      <alignment horizontal="center" vertical="center"/>
    </xf>
    <xf numFmtId="0" fontId="23" fillId="15" borderId="10" xfId="3" applyFont="1" applyFill="1" applyBorder="1" applyAlignment="1">
      <alignment horizontal="center" vertical="center" wrapText="1"/>
    </xf>
    <xf numFmtId="2" fontId="23" fillId="15" borderId="37" xfId="3" applyNumberFormat="1" applyFont="1" applyFill="1" applyBorder="1" applyAlignment="1">
      <alignment horizontal="center" vertical="center" wrapText="1"/>
    </xf>
    <xf numFmtId="2" fontId="23" fillId="15" borderId="38" xfId="3" applyNumberFormat="1" applyFont="1" applyFill="1" applyBorder="1" applyAlignment="1">
      <alignment horizontal="center" vertical="center" wrapText="1"/>
    </xf>
    <xf numFmtId="2" fontId="23" fillId="15" borderId="39" xfId="3" applyNumberFormat="1" applyFont="1" applyFill="1" applyBorder="1" applyAlignment="1">
      <alignment horizontal="center" vertical="center" wrapText="1"/>
    </xf>
    <xf numFmtId="2" fontId="23" fillId="0" borderId="9" xfId="3" applyNumberFormat="1" applyFont="1" applyBorder="1" applyAlignment="1">
      <alignment horizontal="center" vertical="center"/>
    </xf>
    <xf numFmtId="2" fontId="23" fillId="0" borderId="10" xfId="3" applyNumberFormat="1" applyFont="1" applyBorder="1" applyAlignment="1">
      <alignment horizontal="center" vertical="center"/>
    </xf>
    <xf numFmtId="2" fontId="23" fillId="0" borderId="11" xfId="3" applyNumberFormat="1" applyFont="1" applyBorder="1" applyAlignment="1">
      <alignment horizontal="center" vertical="center"/>
    </xf>
    <xf numFmtId="2" fontId="23" fillId="0" borderId="12" xfId="3" applyNumberFormat="1" applyFont="1" applyBorder="1" applyAlignment="1">
      <alignment horizontal="center" vertical="center"/>
    </xf>
    <xf numFmtId="2" fontId="23" fillId="0" borderId="3" xfId="3" applyNumberFormat="1" applyFont="1" applyAlignment="1">
      <alignment horizontal="center" vertical="center"/>
    </xf>
    <xf numFmtId="2" fontId="23" fillId="0" borderId="13" xfId="3" applyNumberFormat="1" applyFont="1" applyBorder="1" applyAlignment="1">
      <alignment horizontal="center" vertical="center"/>
    </xf>
    <xf numFmtId="0" fontId="23" fillId="15" borderId="9" xfId="3" applyFont="1" applyFill="1" applyBorder="1" applyAlignment="1">
      <alignment horizontal="center" vertical="center"/>
    </xf>
    <xf numFmtId="0" fontId="23" fillId="15" borderId="10" xfId="3" applyFont="1" applyFill="1" applyBorder="1" applyAlignment="1">
      <alignment horizontal="center" vertical="center"/>
    </xf>
    <xf numFmtId="0" fontId="23" fillId="15" borderId="11" xfId="3" applyFont="1" applyFill="1" applyBorder="1" applyAlignment="1">
      <alignment horizontal="center" vertical="center"/>
    </xf>
    <xf numFmtId="2" fontId="23" fillId="0" borderId="23" xfId="3" applyNumberFormat="1" applyFont="1" applyBorder="1" applyAlignment="1">
      <alignment horizontal="center"/>
    </xf>
    <xf numFmtId="2" fontId="23" fillId="0" borderId="25" xfId="3" applyNumberFormat="1" applyFont="1" applyBorder="1" applyAlignment="1">
      <alignment horizontal="center"/>
    </xf>
    <xf numFmtId="2" fontId="23" fillId="0" borderId="87" xfId="3" applyNumberFormat="1" applyFont="1" applyBorder="1" applyAlignment="1">
      <alignment horizontal="center" vertical="center"/>
    </xf>
    <xf numFmtId="2" fontId="23" fillId="0" borderId="25" xfId="3" applyNumberFormat="1" applyFont="1" applyBorder="1" applyAlignment="1">
      <alignment horizontal="center" vertical="center"/>
    </xf>
    <xf numFmtId="0" fontId="23" fillId="15" borderId="37" xfId="3" applyFont="1" applyFill="1" applyBorder="1" applyAlignment="1">
      <alignment horizontal="center" vertical="center"/>
    </xf>
    <xf numFmtId="0" fontId="23" fillId="15" borderId="38" xfId="3" applyFont="1" applyFill="1" applyBorder="1" applyAlignment="1">
      <alignment horizontal="center" vertical="center"/>
    </xf>
    <xf numFmtId="0" fontId="23" fillId="15" borderId="39" xfId="3" applyFont="1" applyFill="1" applyBorder="1" applyAlignment="1">
      <alignment horizontal="center" vertical="center"/>
    </xf>
    <xf numFmtId="0" fontId="23" fillId="0" borderId="9" xfId="3" applyFont="1" applyBorder="1" applyAlignment="1">
      <alignment horizontal="center"/>
    </xf>
    <xf numFmtId="0" fontId="23" fillId="0" borderId="10" xfId="3" applyFont="1" applyBorder="1" applyAlignment="1">
      <alignment horizontal="center"/>
    </xf>
    <xf numFmtId="0" fontId="23" fillId="0" borderId="11" xfId="3" applyFont="1" applyBorder="1" applyAlignment="1">
      <alignment horizontal="center"/>
    </xf>
    <xf numFmtId="0" fontId="23" fillId="0" borderId="14" xfId="3" applyFont="1" applyBorder="1" applyAlignment="1">
      <alignment horizontal="center"/>
    </xf>
    <xf numFmtId="0" fontId="23" fillId="0" borderId="15" xfId="3" applyFont="1" applyBorder="1" applyAlignment="1">
      <alignment horizontal="center"/>
    </xf>
    <xf numFmtId="0" fontId="23" fillId="0" borderId="16" xfId="3" applyFont="1" applyBorder="1" applyAlignment="1">
      <alignment horizontal="center"/>
    </xf>
    <xf numFmtId="0" fontId="23" fillId="0" borderId="23" xfId="3" applyFont="1" applyBorder="1" applyAlignment="1">
      <alignment horizontal="center" vertical="center" wrapText="1"/>
    </xf>
    <xf numFmtId="0" fontId="23" fillId="0" borderId="25" xfId="3" applyFont="1" applyBorder="1" applyAlignment="1">
      <alignment horizontal="center" vertical="center" wrapText="1"/>
    </xf>
    <xf numFmtId="0" fontId="23" fillId="0" borderId="26" xfId="3" applyFont="1" applyBorder="1" applyAlignment="1">
      <alignment horizontal="center" vertical="center" wrapText="1"/>
    </xf>
    <xf numFmtId="0" fontId="23" fillId="0" borderId="28" xfId="3" applyFont="1" applyBorder="1" applyAlignment="1">
      <alignment horizontal="center" vertical="center" wrapText="1"/>
    </xf>
    <xf numFmtId="0" fontId="23" fillId="0" borderId="37" xfId="3" applyFont="1" applyBorder="1" applyAlignment="1">
      <alignment horizontal="center"/>
    </xf>
    <xf numFmtId="0" fontId="23" fillId="0" borderId="38" xfId="3" applyFont="1" applyBorder="1" applyAlignment="1">
      <alignment horizontal="center"/>
    </xf>
    <xf numFmtId="0" fontId="23" fillId="0" borderId="39" xfId="3" applyFont="1" applyBorder="1" applyAlignment="1">
      <alignment horizontal="center"/>
    </xf>
    <xf numFmtId="0" fontId="23" fillId="0" borderId="9" xfId="3" applyFont="1" applyBorder="1" applyAlignment="1">
      <alignment horizontal="center" vertical="center"/>
    </xf>
    <xf numFmtId="0" fontId="23" fillId="0" borderId="10" xfId="3" applyFont="1" applyBorder="1" applyAlignment="1">
      <alignment horizontal="center" vertical="center"/>
    </xf>
    <xf numFmtId="0" fontId="23" fillId="0" borderId="11" xfId="3" applyFont="1" applyBorder="1" applyAlignment="1">
      <alignment horizontal="center" vertical="center"/>
    </xf>
    <xf numFmtId="0" fontId="23" fillId="0" borderId="14" xfId="3" applyFont="1" applyBorder="1" applyAlignment="1">
      <alignment horizontal="center" vertical="center"/>
    </xf>
    <xf numFmtId="0" fontId="23" fillId="0" borderId="15" xfId="3" applyFont="1" applyBorder="1" applyAlignment="1">
      <alignment horizontal="center" vertical="center"/>
    </xf>
    <xf numFmtId="0" fontId="23" fillId="0" borderId="16" xfId="3" applyFont="1" applyBorder="1" applyAlignment="1">
      <alignment horizontal="center" vertical="center"/>
    </xf>
    <xf numFmtId="2" fontId="23" fillId="0" borderId="23" xfId="3" applyNumberFormat="1" applyFont="1" applyBorder="1" applyAlignment="1">
      <alignment horizontal="center" vertical="center" wrapText="1"/>
    </xf>
    <xf numFmtId="0" fontId="25" fillId="15" borderId="77" xfId="3" applyFont="1" applyFill="1" applyBorder="1" applyAlignment="1">
      <alignment horizontal="center" vertical="center"/>
    </xf>
    <xf numFmtId="0" fontId="25" fillId="15" borderId="78" xfId="3" applyFont="1" applyFill="1" applyBorder="1" applyAlignment="1">
      <alignment horizontal="center" vertical="center"/>
    </xf>
    <xf numFmtId="0" fontId="25" fillId="15" borderId="79" xfId="3" applyFont="1" applyFill="1" applyBorder="1" applyAlignment="1">
      <alignment horizontal="center" vertical="center"/>
    </xf>
    <xf numFmtId="0" fontId="23" fillId="0" borderId="48" xfId="3" applyFont="1" applyBorder="1" applyAlignment="1">
      <alignment horizontal="left" vertical="center"/>
    </xf>
    <xf numFmtId="0" fontId="0" fillId="21" borderId="0" xfId="0" applyFill="1" applyAlignment="1">
      <alignment horizontal="center"/>
    </xf>
    <xf numFmtId="0" fontId="0" fillId="0" borderId="0" xfId="0" applyAlignment="1">
      <alignment horizontal="center" wrapText="1"/>
    </xf>
    <xf numFmtId="0" fontId="41" fillId="24" borderId="48"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wrapText="1"/>
    </xf>
    <xf numFmtId="0" fontId="34" fillId="21" borderId="109" xfId="0" applyFont="1" applyFill="1" applyBorder="1" applyAlignment="1">
      <alignment horizontal="center"/>
    </xf>
    <xf numFmtId="0" fontId="35" fillId="20" borderId="48" xfId="5" applyFont="1" applyBorder="1" applyAlignment="1">
      <alignment horizontal="center" vertical="center"/>
    </xf>
    <xf numFmtId="0" fontId="34" fillId="21" borderId="100" xfId="0" applyFont="1" applyFill="1" applyBorder="1" applyAlignment="1">
      <alignment horizontal="center"/>
    </xf>
    <xf numFmtId="0" fontId="35" fillId="21" borderId="98" xfId="0" applyFont="1" applyFill="1" applyBorder="1" applyAlignment="1">
      <alignment horizontal="center"/>
    </xf>
    <xf numFmtId="0" fontId="35" fillId="21" borderId="89" xfId="0" applyFont="1" applyFill="1" applyBorder="1" applyAlignment="1">
      <alignment horizontal="center"/>
    </xf>
    <xf numFmtId="0" fontId="35" fillId="20" borderId="110" xfId="5" applyFont="1" applyBorder="1" applyAlignment="1">
      <alignment horizontal="center" wrapText="1"/>
    </xf>
    <xf numFmtId="0" fontId="35" fillId="20" borderId="111" xfId="5" applyFont="1" applyBorder="1" applyAlignment="1">
      <alignment horizontal="center" wrapText="1"/>
    </xf>
    <xf numFmtId="0" fontId="35" fillId="20" borderId="83" xfId="5" applyFont="1" applyBorder="1" applyAlignment="1">
      <alignment horizontal="center" wrapText="1"/>
    </xf>
    <xf numFmtId="0" fontId="35" fillId="20" borderId="93" xfId="5" applyFont="1" applyBorder="1" applyAlignment="1">
      <alignment horizontal="center" wrapText="1"/>
    </xf>
    <xf numFmtId="0" fontId="35" fillId="20" borderId="3" xfId="5" applyFont="1" applyBorder="1" applyAlignment="1">
      <alignment horizontal="center" wrapText="1"/>
    </xf>
    <xf numFmtId="0" fontId="35" fillId="20" borderId="92" xfId="5" applyFont="1" applyBorder="1" applyAlignment="1">
      <alignment horizontal="center" wrapText="1"/>
    </xf>
    <xf numFmtId="0" fontId="35" fillId="20" borderId="95" xfId="5" applyFont="1" applyBorder="1" applyAlignment="1">
      <alignment horizontal="center" wrapText="1"/>
    </xf>
    <xf numFmtId="0" fontId="35" fillId="20" borderId="109" xfId="5" applyFont="1" applyBorder="1" applyAlignment="1">
      <alignment horizontal="center" wrapText="1"/>
    </xf>
    <xf numFmtId="0" fontId="35" fillId="20" borderId="94" xfId="5" applyFont="1" applyBorder="1" applyAlignment="1">
      <alignment horizontal="center" wrapText="1"/>
    </xf>
    <xf numFmtId="0" fontId="36" fillId="21" borderId="0" xfId="0" applyFont="1" applyFill="1" applyAlignment="1">
      <alignment horizontal="center"/>
    </xf>
    <xf numFmtId="0" fontId="35" fillId="25" borderId="110" xfId="6" applyFont="1" applyBorder="1" applyAlignment="1">
      <alignment horizontal="center" vertical="center" wrapText="1"/>
    </xf>
    <xf numFmtId="0" fontId="35" fillId="25" borderId="111" xfId="6" applyFont="1" applyBorder="1" applyAlignment="1">
      <alignment horizontal="center" vertical="center" wrapText="1"/>
    </xf>
    <xf numFmtId="0" fontId="35" fillId="25" borderId="115" xfId="6" applyFont="1" applyBorder="1" applyAlignment="1">
      <alignment horizontal="center" vertical="center" wrapText="1"/>
    </xf>
    <xf numFmtId="0" fontId="35" fillId="25" borderId="48" xfId="6" applyFont="1" applyBorder="1" applyAlignment="1">
      <alignment horizontal="center" vertical="center" wrapText="1"/>
    </xf>
    <xf numFmtId="0" fontId="35" fillId="25" borderId="114" xfId="6" applyFont="1" applyBorder="1" applyAlignment="1">
      <alignment horizontal="center" wrapText="1"/>
    </xf>
    <xf numFmtId="0" fontId="35" fillId="25" borderId="113" xfId="6" applyFont="1" applyBorder="1" applyAlignment="1">
      <alignment horizontal="center" wrapText="1"/>
    </xf>
    <xf numFmtId="0" fontId="35" fillId="25" borderId="78" xfId="6" applyFont="1" applyBorder="1" applyAlignment="1">
      <alignment horizontal="center" vertical="center"/>
    </xf>
    <xf numFmtId="0" fontId="35" fillId="25" borderId="74" xfId="6" applyFont="1" applyBorder="1" applyAlignment="1">
      <alignment horizontal="center" vertical="center"/>
    </xf>
  </cellXfs>
  <cellStyles count="7">
    <cellStyle name="20% - Énfasis1" xfId="5" builtinId="30"/>
    <cellStyle name="20% - Énfasis6" xfId="6" builtinId="50"/>
    <cellStyle name="Estilo 1" xfId="1" xr:uid="{4647844F-63E3-4C33-B80C-9F304EA7393D}"/>
    <cellStyle name="Millares" xfId="2" builtinId="3"/>
    <cellStyle name="Normal" xfId="0" builtinId="0"/>
    <cellStyle name="Normal 2" xfId="3" xr:uid="{3E3825E2-33C4-4C94-9CD7-324D9AB01F3D}"/>
    <cellStyle name="Porcentaje 2" xfId="4" xr:uid="{04052710-B2F3-4D72-A38A-B5AEFAB1A340}"/>
  </cellStyles>
  <dxfs count="19">
    <dxf>
      <font>
        <b val="0"/>
        <i val="0"/>
        <strike val="0"/>
        <condense val="0"/>
        <extend val="0"/>
        <outline val="0"/>
        <shadow val="0"/>
        <u val="none"/>
        <vertAlign val="baseline"/>
        <sz val="12"/>
        <color theme="1"/>
        <name val="Times New Roman"/>
        <family val="1"/>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d/m/yyyy"/>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outline="0">
        <left style="medium">
          <color indexed="64"/>
        </left>
        <right style="medium">
          <color indexed="64"/>
        </right>
        <top/>
        <bottom/>
      </border>
    </dxf>
    <dxf>
      <fill>
        <patternFill>
          <bgColor rgb="FFFFC7CE"/>
        </patternFill>
      </fill>
    </dxf>
    <dxf>
      <fill>
        <patternFill>
          <bgColor rgb="FFFF0000"/>
        </patternFill>
      </fill>
    </dxf>
    <dxf>
      <fill>
        <patternFill>
          <bgColor rgb="FFFFFF00"/>
        </patternFill>
      </fill>
    </dxf>
    <dxf>
      <fill>
        <patternFill>
          <bgColor rgb="FF00B050"/>
        </patternFill>
      </fill>
    </dxf>
    <dxf>
      <fill>
        <patternFill patternType="none">
          <bgColor auto="1"/>
        </patternFill>
      </fill>
    </dxf>
  </dxfs>
  <tableStyles count="1" defaultTableStyle="TableStyleMedium2" defaultPivotStyle="PivotStyleLight16">
    <tableStyle name="Invisible" pivot="0" table="0" count="0" xr9:uid="{C224CA91-6B2F-4F50-B35B-1E9DDA4E1FC5}"/>
  </tableStyles>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microsoft.com/office/2017/10/relationships/person" Target="persons/person.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106680</xdr:rowOff>
    </xdr:from>
    <xdr:to>
      <xdr:col>11</xdr:col>
      <xdr:colOff>45720</xdr:colOff>
      <xdr:row>43</xdr:row>
      <xdr:rowOff>190500</xdr:rowOff>
    </xdr:to>
    <xdr:pic>
      <xdr:nvPicPr>
        <xdr:cNvPr id="6" name="Imagen 5">
          <a:extLst>
            <a:ext uri="{FF2B5EF4-FFF2-40B4-BE49-F238E27FC236}">
              <a16:creationId xmlns:a16="http://schemas.microsoft.com/office/drawing/2014/main" id="{E395AE96-6A48-56F5-A37D-DA3C5832979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167" b="11364"/>
        <a:stretch/>
      </xdr:blipFill>
      <xdr:spPr>
        <a:xfrm>
          <a:off x="152400" y="106680"/>
          <a:ext cx="7772400" cy="849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111125</xdr:rowOff>
    </xdr:from>
    <xdr:to>
      <xdr:col>4</xdr:col>
      <xdr:colOff>1227325</xdr:colOff>
      <xdr:row>3</xdr:row>
      <xdr:rowOff>302573</xdr:rowOff>
    </xdr:to>
    <xdr:pic>
      <xdr:nvPicPr>
        <xdr:cNvPr id="2" name="Imagen 1">
          <a:extLst>
            <a:ext uri="{FF2B5EF4-FFF2-40B4-BE49-F238E27FC236}">
              <a16:creationId xmlns:a16="http://schemas.microsoft.com/office/drawing/2014/main" id="{BBADBF99-C8D3-4FF5-B31B-3E2DE374A1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320675"/>
          <a:ext cx="3507882" cy="877248"/>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Vista 1" id="{187C2529-6802-4679-8B83-43F10427538B}">
    <nsvFilter filterId="{66C03FD3-FE34-4716-9A03-5D3F9BC0D4DE}" ref="M161:X179" tableId="1"/>
    <nsvFilter filterId="{772325D0-1AC2-4202-8F1F-EA4EA559C005}" ref="M87:X132" tableId="0"/>
  </namedSheetView>
</namedSheetViews>
</file>

<file path=xl/persons/person.xml><?xml version="1.0" encoding="utf-8"?>
<personList xmlns="http://schemas.microsoft.com/office/spreadsheetml/2018/threadedcomments" xmlns:x="http://schemas.openxmlformats.org/spreadsheetml/2006/main">
  <person displayName="Raquel Mejias Elizondo" id="{337F2E0F-12CD-4F23-A1FB-A64226240E33}" userId="rmejias@itcr.ac.cr" providerId="PeoplePicker"/>
  <person displayName="Maria Angelica Astorga Perez" id="{52D15C15-9812-4640-B0EE-E505F1245087}" userId="mastorga@itcr.ac.cr" providerId="PeoplePicker"/>
  <person displayName="Gestion Ambiental" id="{FB21B0DF-DE7F-4557-8A8D-CF29F12AAC5A}" userId="S::ga@itcr.ac.cr::30bf4951-a250-4b68-974f-041e4451d02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C03FD3-FE34-4716-9A03-5D3F9BC0D4DE}" name="Tabla1" displayName="Tabla1" ref="M161:X179" totalsRowShown="0" headerRowDxfId="13" tableBorderDxfId="12" headerRowCellStyle="Normal 2">
  <autoFilter ref="M161:X179" xr:uid="{66C03FD3-FE34-4716-9A03-5D3F9BC0D4DE}"/>
  <tableColumns count="12">
    <tableColumn id="1" xr3:uid="{EE6C34BF-C701-40F0-912D-FD5D6C995DF2}" name="N° de viaje" dataDxfId="11" dataCellStyle="Normal 2"/>
    <tableColumn id="2" xr3:uid="{ADDB0877-058E-49BF-B13A-F590EE676849}" name="N° de boleta" dataDxfId="10" dataCellStyle="Normal 2"/>
    <tableColumn id="3" xr3:uid="{334DBC60-6B2D-4B17-B53D-A9CA57F84CCB}" name="Fecha" dataDxfId="9" dataCellStyle="Normal 2"/>
    <tableColumn id="4" xr3:uid="{322FBA62-346C-4B33-B258-E6715302BB9A}" name="Salida" dataDxfId="8" dataCellStyle="Normal 2"/>
    <tableColumn id="5" xr3:uid="{5132405A-E916-4784-98E7-5A5C7358F90D}" name="Destino" dataDxfId="7" dataCellStyle="Normal 2"/>
    <tableColumn id="6" xr3:uid="{E9F19E4B-D3F8-4D25-800A-A0D8E24B776A}" name="Placa" dataDxfId="6" dataCellStyle="Normal 2"/>
    <tableColumn id="7" xr3:uid="{F26D7B76-CA02-4B9D-8B9F-010CBA054274}" name="Emisiones del vehículo (kgCO2/km)" dataDxfId="5" dataCellStyle="Normal 2"/>
    <tableColumn id="8" xr3:uid="{EFB12FCA-5926-42FB-A071-41665189267E}" name="kilómetros recorridos (km)" dataDxfId="4" dataCellStyle="Normal 2"/>
    <tableColumn id="9" xr3:uid="{FB206A47-BC79-45DA-91F6-6E18AC0CEB19}" name="Cantidad de viajes compartidos " dataDxfId="3" dataCellStyle="Normal 2"/>
    <tableColumn id="10" xr3:uid="{017AD731-8219-411D-91E4-ADB9548BDE7C}" name="Emisiones sin compartir (kgCO2/viaje)" dataDxfId="2" dataCellStyle="Normal 2">
      <calculatedColumnFormula>S162*T162*U162</calculatedColumnFormula>
    </tableColumn>
    <tableColumn id="11" xr3:uid="{5B022BFC-C1EF-4EB4-AFE5-76D9D7A8DB5D}" name="Emisiones compartiendo (kgCO2/viaje)" dataDxfId="1" dataCellStyle="Normal 2">
      <calculatedColumnFormula>S162*T162</calculatedColumnFormula>
    </tableColumn>
    <tableColumn id="12" xr3:uid="{20E1191E-1FC7-4293-8F0B-8AAA68FFF6AB}" name="Emisiones evitadas (kgCO2/viaje)" dataDxfId="0" dataCellStyle="Normal 2">
      <calculatedColumnFormula>V162-W162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7" dT="2023-06-14T16:15:46.60" personId="{FB21B0DF-DE7F-4557-8A8D-CF29F12AAC5A}" id="{81763156-9CA0-4D61-8AE4-FA6B074461A6}">
    <text>@Raquel Mejias Elizondo hablamos de no incluir lo compostado en el 2022 como reducción, si no, mencionar que se hicieron reparacion y pruebas. Esta explicacion se haria en el documento word, pero acá en el inventario, ¿qué ponemos?</text>
    <mentions>
      <mention mentionpersonId="{337F2E0F-12CD-4F23-A1FB-A64226240E33}" mentionId="{6D007C5F-D596-47D8-A936-CE5CE425D1FE}" startIndex="0" length="23"/>
    </mentions>
  </threadedComment>
  <threadedComment ref="C47" dT="2023-06-14T16:34:17.64" personId="{FB21B0DF-DE7F-4557-8A8D-CF29F12AAC5A}" id="{55828A20-DBA1-4E4F-BB68-2CBEAB7B05D8}" parentId="{81763156-9CA0-4D61-8AE4-FA6B074461A6}">
    <text xml:space="preserve">@Maria Angelica Astorga Perez poner que por poco usoi de la compostera debido a reparación no se cuenta con un indicador de desempeño significativo. E igual, se puede poner el indicador de los kg compostados, aunque fueran 100 jaja </text>
    <mentions>
      <mention mentionpersonId="{52D15C15-9812-4640-B0EE-E505F1245087}" mentionId="{537B9458-CDE2-4725-8E3A-6EC84D9D4D7D}" startIndex="0" length="29"/>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microsoft.com/office/2019/04/relationships/namedSheetView" Target="../namedSheetViews/namedSheetView1.xml"/><Relationship Id="rId5" Type="http://schemas.openxmlformats.org/officeDocument/2006/relationships/comments" Target="../comments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5:A994"/>
  <sheetViews>
    <sheetView showGridLines="0" topLeftCell="A11" zoomScaleNormal="100" workbookViewId="0">
      <selection activeCell="N11" sqref="N11"/>
    </sheetView>
  </sheetViews>
  <sheetFormatPr baseColWidth="10" defaultColWidth="12.625" defaultRowHeight="15" customHeight="1" x14ac:dyDescent="0.2"/>
  <cols>
    <col min="1" max="26" width="9.375" customWidth="1"/>
  </cols>
  <sheetData>
    <row r="15" ht="15.75" customHeight="1" x14ac:dyDescent="0.2"/>
    <row r="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521A-3AE4-4256-BC75-7FD73A4CACFF}">
  <dimension ref="B1:O12"/>
  <sheetViews>
    <sheetView showGridLines="0" topLeftCell="G1" zoomScale="70" zoomScaleNormal="70" workbookViewId="0">
      <selection activeCell="D6" sqref="D6"/>
    </sheetView>
  </sheetViews>
  <sheetFormatPr baseColWidth="10" defaultColWidth="11" defaultRowHeight="14.25" x14ac:dyDescent="0.2"/>
  <cols>
    <col min="1" max="1" width="5.25" customWidth="1"/>
    <col min="2" max="2" width="16.25" style="6" bestFit="1" customWidth="1"/>
    <col min="3" max="3" width="16.125" style="6" bestFit="1" customWidth="1"/>
    <col min="4" max="4" width="31.75" style="6" bestFit="1" customWidth="1"/>
    <col min="5" max="5" width="17.25" style="6" customWidth="1"/>
    <col min="6" max="6" width="18.75" style="6" customWidth="1"/>
    <col min="7" max="7" width="18.875" style="6" customWidth="1"/>
    <col min="8" max="8" width="26" style="6" customWidth="1"/>
    <col min="9" max="9" width="14" customWidth="1"/>
    <col min="10" max="10" width="5.25" customWidth="1"/>
    <col min="11" max="11" width="20.125" customWidth="1"/>
    <col min="12" max="12" width="59.375" customWidth="1"/>
    <col min="13" max="14" width="28.375" bestFit="1" customWidth="1"/>
    <col min="15" max="15" width="28" bestFit="1" customWidth="1"/>
  </cols>
  <sheetData>
    <row r="1" spans="2:15" ht="15" thickBot="1" x14ac:dyDescent="0.25">
      <c r="B1" s="58"/>
      <c r="C1" s="59"/>
      <c r="D1" s="59"/>
      <c r="E1" s="59"/>
      <c r="F1" s="59"/>
      <c r="G1" s="59"/>
      <c r="H1" s="59"/>
      <c r="I1" s="23"/>
    </row>
    <row r="2" spans="2:15" ht="17.25" thickBot="1" x14ac:dyDescent="0.35">
      <c r="B2" s="326" t="s">
        <v>0</v>
      </c>
      <c r="C2" s="323"/>
      <c r="D2" s="323"/>
      <c r="E2" s="323" t="s">
        <v>1</v>
      </c>
      <c r="F2" s="323"/>
      <c r="G2" s="323"/>
      <c r="H2" s="323"/>
      <c r="I2" s="324" t="s">
        <v>2</v>
      </c>
      <c r="K2" s="46" t="s">
        <v>3</v>
      </c>
      <c r="L2" s="47" t="s">
        <v>4</v>
      </c>
      <c r="M2" s="48" t="s">
        <v>5</v>
      </c>
      <c r="N2" s="48" t="s">
        <v>6</v>
      </c>
      <c r="O2" s="49" t="s">
        <v>7</v>
      </c>
    </row>
    <row r="3" spans="2:15" ht="46.5" customHeight="1" thickBot="1" x14ac:dyDescent="0.25">
      <c r="B3" s="50" t="s">
        <v>8</v>
      </c>
      <c r="C3" s="51" t="s">
        <v>9</v>
      </c>
      <c r="D3" s="51" t="s">
        <v>10</v>
      </c>
      <c r="E3" s="51" t="s">
        <v>11</v>
      </c>
      <c r="F3" s="51" t="s">
        <v>12</v>
      </c>
      <c r="G3" s="51" t="s">
        <v>13</v>
      </c>
      <c r="H3" s="51" t="s">
        <v>14</v>
      </c>
      <c r="I3" s="325"/>
      <c r="K3" s="41" t="s">
        <v>11</v>
      </c>
      <c r="L3" s="42" t="s">
        <v>15</v>
      </c>
      <c r="M3" s="43" t="s">
        <v>16</v>
      </c>
      <c r="N3" s="44" t="s">
        <v>17</v>
      </c>
      <c r="O3" s="45" t="s">
        <v>18</v>
      </c>
    </row>
    <row r="4" spans="2:15" ht="76.5" customHeight="1" x14ac:dyDescent="0.2">
      <c r="B4" s="55" t="s">
        <v>19</v>
      </c>
      <c r="C4" s="56" t="s">
        <v>20</v>
      </c>
      <c r="D4" s="56" t="s">
        <v>21</v>
      </c>
      <c r="E4" s="28">
        <v>1</v>
      </c>
      <c r="F4" s="52">
        <v>2</v>
      </c>
      <c r="G4" s="52">
        <v>2</v>
      </c>
      <c r="H4" s="52">
        <v>3</v>
      </c>
      <c r="I4" s="53">
        <f>+E4+F4+G4+H4</f>
        <v>8</v>
      </c>
      <c r="K4" s="27" t="s">
        <v>12</v>
      </c>
      <c r="L4" s="37" t="s">
        <v>22</v>
      </c>
      <c r="M4" s="17" t="s">
        <v>23</v>
      </c>
      <c r="N4" s="17" t="s">
        <v>24</v>
      </c>
      <c r="O4" s="38" t="s">
        <v>25</v>
      </c>
    </row>
    <row r="5" spans="2:15" ht="99" x14ac:dyDescent="0.2">
      <c r="B5" s="57" t="s">
        <v>26</v>
      </c>
      <c r="C5" s="54" t="s">
        <v>27</v>
      </c>
      <c r="D5" s="54" t="s">
        <v>28</v>
      </c>
      <c r="E5" s="28">
        <v>1</v>
      </c>
      <c r="F5" s="28">
        <v>2</v>
      </c>
      <c r="G5" s="28">
        <v>3</v>
      </c>
      <c r="H5" s="28">
        <v>3</v>
      </c>
      <c r="I5" s="29">
        <f t="shared" ref="I5:I6" si="0">+E5+F5+G5+H5</f>
        <v>9</v>
      </c>
      <c r="K5" s="27" t="s">
        <v>13</v>
      </c>
      <c r="L5" s="37" t="s">
        <v>29</v>
      </c>
      <c r="M5" s="18" t="s">
        <v>30</v>
      </c>
      <c r="N5" s="17" t="s">
        <v>31</v>
      </c>
      <c r="O5" s="19" t="s">
        <v>32</v>
      </c>
    </row>
    <row r="6" spans="2:15" ht="90.75" thickBot="1" x14ac:dyDescent="0.25">
      <c r="B6" s="57" t="s">
        <v>33</v>
      </c>
      <c r="C6" s="54" t="s">
        <v>34</v>
      </c>
      <c r="D6" s="54" t="s">
        <v>35</v>
      </c>
      <c r="E6" s="28">
        <v>1</v>
      </c>
      <c r="F6" s="28">
        <v>2</v>
      </c>
      <c r="G6" s="28">
        <v>2</v>
      </c>
      <c r="H6" s="28">
        <v>3</v>
      </c>
      <c r="I6" s="29">
        <f t="shared" si="0"/>
        <v>8</v>
      </c>
      <c r="K6" s="39" t="s">
        <v>36</v>
      </c>
      <c r="L6" s="40" t="s">
        <v>37</v>
      </c>
      <c r="M6" s="20" t="s">
        <v>38</v>
      </c>
      <c r="N6" s="21" t="s">
        <v>39</v>
      </c>
      <c r="O6" s="22" t="s">
        <v>40</v>
      </c>
    </row>
    <row r="7" spans="2:15" ht="15" thickBot="1" x14ac:dyDescent="0.25"/>
    <row r="8" spans="2:15" ht="17.25" thickBot="1" x14ac:dyDescent="0.35">
      <c r="K8" s="321" t="s">
        <v>41</v>
      </c>
      <c r="L8" s="322"/>
    </row>
    <row r="9" spans="2:15" ht="17.25" thickBot="1" x14ac:dyDescent="0.35">
      <c r="K9" s="9" t="s">
        <v>42</v>
      </c>
      <c r="L9" s="10" t="s">
        <v>4</v>
      </c>
    </row>
    <row r="10" spans="2:15" ht="33" x14ac:dyDescent="0.3">
      <c r="K10" s="11" t="s">
        <v>43</v>
      </c>
      <c r="L10" s="12" t="s">
        <v>44</v>
      </c>
    </row>
    <row r="11" spans="2:15" ht="16.5" x14ac:dyDescent="0.3">
      <c r="K11" s="13" t="s">
        <v>45</v>
      </c>
      <c r="L11" s="14" t="s">
        <v>46</v>
      </c>
    </row>
    <row r="12" spans="2:15" ht="17.25" thickBot="1" x14ac:dyDescent="0.35">
      <c r="K12" s="15" t="s">
        <v>47</v>
      </c>
      <c r="L12" s="16" t="s">
        <v>48</v>
      </c>
    </row>
  </sheetData>
  <mergeCells count="4">
    <mergeCell ref="K8:L8"/>
    <mergeCell ref="E2:H2"/>
    <mergeCell ref="I2:I3"/>
    <mergeCell ref="B2:D2"/>
  </mergeCells>
  <conditionalFormatting sqref="I4:I6">
    <cfRule type="cellIs" dxfId="18" priority="7" operator="between">
      <formula>0</formula>
      <formula>3</formula>
    </cfRule>
    <cfRule type="cellIs" dxfId="17" priority="8" operator="between">
      <formula>4</formula>
      <formula>6</formula>
    </cfRule>
    <cfRule type="cellIs" dxfId="16" priority="9" operator="between">
      <formula>7</formula>
      <formula>9</formula>
    </cfRule>
    <cfRule type="cellIs" dxfId="15" priority="10" operator="between">
      <formula>10</formula>
      <formula>12</formula>
    </cfRule>
    <cfRule type="colorScale" priority="11">
      <colorScale>
        <cfvo type="min"/>
        <cfvo type="percentile" val="50"/>
        <cfvo type="max"/>
        <color rgb="FFF8696B"/>
        <color rgb="FFFFEB84"/>
        <color rgb="FF63BE7B"/>
      </colorScale>
    </cfRule>
    <cfRule type="cellIs" dxfId="14" priority="12" operator="between">
      <formula>10</formula>
      <formula>12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920"/>
  <sheetViews>
    <sheetView showGridLines="0" topLeftCell="J15" zoomScale="79" zoomScaleNormal="60" workbookViewId="0">
      <selection activeCell="Q17" sqref="Q17"/>
    </sheetView>
  </sheetViews>
  <sheetFormatPr baseColWidth="10" defaultColWidth="12.625" defaultRowHeight="15" customHeight="1" x14ac:dyDescent="0.3"/>
  <cols>
    <col min="1" max="1" width="3.25" style="71" customWidth="1"/>
    <col min="2" max="2" width="38.5" style="71" bestFit="1" customWidth="1"/>
    <col min="3" max="3" width="42.125" style="71" bestFit="1" customWidth="1"/>
    <col min="4" max="4" width="53.25" style="71" bestFit="1" customWidth="1"/>
    <col min="5" max="5" width="9.875" style="71" customWidth="1"/>
    <col min="6" max="6" width="53.625" style="71" bestFit="1" customWidth="1"/>
    <col min="7" max="7" width="61.75" style="71" customWidth="1"/>
    <col min="8" max="8" width="42.75" style="71" customWidth="1"/>
    <col min="9" max="9" width="25.875" style="71" customWidth="1"/>
    <col min="10" max="10" width="42.75" style="71" customWidth="1"/>
    <col min="11" max="11" width="30.125" style="71" customWidth="1"/>
    <col min="12" max="12" width="36.25" style="71" customWidth="1"/>
    <col min="13" max="13" width="19.75" style="71" customWidth="1"/>
    <col min="14" max="14" width="71.25" style="71" customWidth="1"/>
    <col min="15" max="15" width="33.375" style="71" customWidth="1"/>
    <col min="16" max="16" width="8.125" style="71" customWidth="1"/>
    <col min="17" max="17" width="15.875" style="71" customWidth="1"/>
    <col min="18" max="19" width="8.125" style="71" customWidth="1"/>
    <col min="20" max="21" width="10" style="71" customWidth="1"/>
    <col min="22" max="22" width="13.125" style="71" customWidth="1"/>
    <col min="23" max="23" width="19.75" style="71" customWidth="1"/>
    <col min="24" max="24" width="24.375" style="70" customWidth="1"/>
    <col min="25" max="25" width="14.75" style="70" customWidth="1"/>
    <col min="26" max="26" width="24.375" style="70" customWidth="1"/>
    <col min="27" max="27" width="29" style="70" customWidth="1"/>
    <col min="28" max="29" width="24.375" style="70" customWidth="1"/>
    <col min="30" max="30" width="17.875" style="71" customWidth="1"/>
    <col min="31" max="31" width="19.125" style="71" customWidth="1"/>
    <col min="32" max="32" width="24.125" style="71" customWidth="1"/>
    <col min="33" max="33" width="12.625" style="71"/>
    <col min="34" max="34" width="23.5" style="71" customWidth="1"/>
    <col min="35" max="35" width="26.375" style="71" customWidth="1"/>
    <col min="36" max="36" width="12.625" style="71"/>
    <col min="37" max="37" width="24.25" style="71" customWidth="1"/>
    <col min="38" max="38" width="24.75" style="71" customWidth="1"/>
    <col min="39" max="16384" width="12.625" style="71"/>
  </cols>
  <sheetData>
    <row r="1" spans="1:48" ht="15.75" customHeight="1" x14ac:dyDescent="0.3">
      <c r="A1" s="1"/>
      <c r="B1" s="329" t="s">
        <v>49</v>
      </c>
      <c r="C1" s="329"/>
      <c r="D1" s="329"/>
      <c r="E1" s="329"/>
      <c r="F1" s="329"/>
      <c r="G1" s="329"/>
      <c r="H1" s="329"/>
      <c r="I1" s="329"/>
      <c r="J1" s="329"/>
      <c r="K1" s="329"/>
      <c r="L1" s="329"/>
      <c r="M1" s="329"/>
      <c r="N1" s="329"/>
      <c r="O1" s="329"/>
      <c r="P1" s="329"/>
      <c r="Q1" s="329"/>
      <c r="R1" s="329"/>
      <c r="S1" s="329"/>
      <c r="T1" s="1"/>
      <c r="U1" s="1"/>
      <c r="V1" s="1"/>
      <c r="W1" s="1"/>
      <c r="X1" s="69"/>
      <c r="Y1" s="69"/>
      <c r="Z1" s="69"/>
      <c r="AA1" s="69"/>
      <c r="AB1" s="69"/>
    </row>
    <row r="2" spans="1:48" ht="15.75" customHeight="1" thickBot="1" x14ac:dyDescent="0.35">
      <c r="A2" s="1"/>
      <c r="B2" s="330"/>
      <c r="C2" s="330"/>
      <c r="D2" s="330"/>
      <c r="E2" s="330"/>
      <c r="F2" s="330"/>
      <c r="G2" s="330"/>
      <c r="H2" s="330"/>
      <c r="I2" s="330"/>
      <c r="J2" s="330"/>
      <c r="K2" s="330"/>
      <c r="L2" s="330"/>
      <c r="M2" s="330"/>
      <c r="N2" s="330"/>
      <c r="O2" s="330"/>
      <c r="P2" s="330"/>
      <c r="Q2" s="330"/>
      <c r="R2" s="330"/>
      <c r="S2" s="330"/>
      <c r="T2" s="1"/>
      <c r="U2" s="1"/>
      <c r="V2" s="1"/>
      <c r="W2" s="1"/>
      <c r="X2" s="1"/>
      <c r="Y2" s="1"/>
      <c r="Z2" s="1"/>
      <c r="AA2" s="1"/>
      <c r="AB2" s="1"/>
      <c r="AC2" s="1"/>
      <c r="AD2" s="1"/>
      <c r="AE2" s="1"/>
      <c r="AF2" s="1"/>
      <c r="AG2" s="1"/>
      <c r="AH2" s="1"/>
      <c r="AI2" s="1"/>
      <c r="AJ2" s="1"/>
      <c r="AK2" s="1"/>
      <c r="AL2" s="1"/>
      <c r="AM2" s="1"/>
    </row>
    <row r="3" spans="1:48" ht="15.75" customHeight="1" thickBot="1" x14ac:dyDescent="0.35">
      <c r="A3" s="1"/>
      <c r="B3" s="61" t="s">
        <v>50</v>
      </c>
      <c r="C3" s="62"/>
      <c r="D3" s="62"/>
      <c r="E3" s="62"/>
      <c r="F3" s="62"/>
      <c r="G3" s="62"/>
      <c r="H3" s="62"/>
      <c r="I3" s="62"/>
      <c r="J3" s="62"/>
      <c r="K3" s="62"/>
      <c r="L3" s="62"/>
      <c r="M3" s="62"/>
      <c r="N3" s="62"/>
      <c r="O3" s="62"/>
      <c r="P3" s="62"/>
      <c r="Q3" s="62"/>
      <c r="R3" s="62"/>
      <c r="S3" s="62"/>
      <c r="T3" s="1"/>
      <c r="U3" s="1"/>
      <c r="V3" s="1"/>
      <c r="W3" s="1"/>
      <c r="X3" s="1"/>
      <c r="Y3" s="1"/>
      <c r="Z3" s="1"/>
      <c r="AA3" s="1"/>
      <c r="AB3" s="1"/>
      <c r="AC3" s="1"/>
      <c r="AD3" s="1"/>
      <c r="AE3" s="1"/>
      <c r="AF3" s="1"/>
      <c r="AG3" s="1"/>
      <c r="AH3" s="1"/>
      <c r="AI3" s="1"/>
      <c r="AJ3" s="1"/>
      <c r="AK3" s="1"/>
      <c r="AL3" s="1"/>
      <c r="AM3" s="1"/>
    </row>
    <row r="4" spans="1:48" s="1" customFormat="1" ht="15.75" customHeight="1" x14ac:dyDescent="0.3">
      <c r="B4" s="331" t="s">
        <v>9</v>
      </c>
      <c r="C4" s="344" t="s">
        <v>51</v>
      </c>
      <c r="D4" s="344" t="s">
        <v>52</v>
      </c>
      <c r="E4" s="336" t="s">
        <v>53</v>
      </c>
      <c r="F4" s="362" t="s">
        <v>54</v>
      </c>
      <c r="G4" s="358" t="s">
        <v>55</v>
      </c>
      <c r="H4" s="362" t="s">
        <v>56</v>
      </c>
      <c r="I4" s="336" t="s">
        <v>57</v>
      </c>
      <c r="J4" s="336" t="s">
        <v>58</v>
      </c>
      <c r="K4" s="336" t="s">
        <v>59</v>
      </c>
      <c r="L4" s="341" t="s">
        <v>60</v>
      </c>
      <c r="M4" s="336" t="s">
        <v>61</v>
      </c>
      <c r="N4" s="336" t="s">
        <v>62</v>
      </c>
      <c r="O4" s="350" t="s">
        <v>63</v>
      </c>
      <c r="P4" s="355" t="s">
        <v>64</v>
      </c>
      <c r="Q4" s="356"/>
      <c r="R4" s="356"/>
      <c r="S4" s="357"/>
    </row>
    <row r="5" spans="1:48" s="1" customFormat="1" ht="15.75" customHeight="1" x14ac:dyDescent="0.3">
      <c r="B5" s="332"/>
      <c r="C5" s="345"/>
      <c r="D5" s="365"/>
      <c r="E5" s="337"/>
      <c r="F5" s="372"/>
      <c r="G5" s="359"/>
      <c r="H5" s="363"/>
      <c r="I5" s="339"/>
      <c r="J5" s="339"/>
      <c r="K5" s="339"/>
      <c r="L5" s="342"/>
      <c r="M5" s="337"/>
      <c r="N5" s="337"/>
      <c r="O5" s="351"/>
      <c r="P5" s="347" t="s">
        <v>65</v>
      </c>
      <c r="Q5" s="348"/>
      <c r="R5" s="348"/>
      <c r="S5" s="349"/>
    </row>
    <row r="6" spans="1:48" s="1" customFormat="1" ht="51" customHeight="1" thickBot="1" x14ac:dyDescent="0.35">
      <c r="B6" s="333"/>
      <c r="C6" s="346"/>
      <c r="D6" s="366"/>
      <c r="E6" s="338"/>
      <c r="F6" s="373"/>
      <c r="G6" s="360"/>
      <c r="H6" s="364"/>
      <c r="I6" s="340"/>
      <c r="J6" s="340"/>
      <c r="K6" s="340"/>
      <c r="L6" s="343"/>
      <c r="M6" s="338"/>
      <c r="N6" s="338"/>
      <c r="O6" s="352"/>
      <c r="P6" s="30" t="s">
        <v>66</v>
      </c>
      <c r="Q6" s="4" t="s">
        <v>67</v>
      </c>
      <c r="R6" s="4" t="s">
        <v>68</v>
      </c>
      <c r="S6" s="5" t="s">
        <v>69</v>
      </c>
    </row>
    <row r="7" spans="1:48" s="73" customFormat="1" ht="75.599999999999994" customHeight="1" x14ac:dyDescent="0.3">
      <c r="B7" s="334" t="s">
        <v>27</v>
      </c>
      <c r="C7" s="334" t="s">
        <v>28</v>
      </c>
      <c r="D7" s="371" t="s">
        <v>70</v>
      </c>
      <c r="E7" s="327" t="s">
        <v>71</v>
      </c>
      <c r="F7" s="368" t="s">
        <v>72</v>
      </c>
      <c r="G7" s="327" t="s">
        <v>73</v>
      </c>
      <c r="H7" s="80" t="s">
        <v>74</v>
      </c>
      <c r="I7" s="80" t="s">
        <v>75</v>
      </c>
      <c r="J7" s="81" t="s">
        <v>76</v>
      </c>
      <c r="K7" s="368" t="s">
        <v>77</v>
      </c>
      <c r="L7" s="60"/>
      <c r="M7" s="327" t="s">
        <v>78</v>
      </c>
      <c r="N7" s="327" t="s">
        <v>79</v>
      </c>
      <c r="O7" s="353" t="s">
        <v>80</v>
      </c>
      <c r="P7" s="77" t="s">
        <v>81</v>
      </c>
      <c r="Q7" s="82" t="s">
        <v>81</v>
      </c>
      <c r="R7" s="78" t="s">
        <v>81</v>
      </c>
      <c r="S7" s="79" t="s">
        <v>81</v>
      </c>
    </row>
    <row r="8" spans="1:48" s="73" customFormat="1" ht="75.599999999999994" customHeight="1" thickBot="1" x14ac:dyDescent="0.35">
      <c r="B8" s="335"/>
      <c r="C8" s="335"/>
      <c r="D8" s="370"/>
      <c r="E8" s="328"/>
      <c r="F8" s="370"/>
      <c r="G8" s="328"/>
      <c r="H8" s="76" t="s">
        <v>82</v>
      </c>
      <c r="I8" s="76" t="s">
        <v>75</v>
      </c>
      <c r="J8" s="83" t="s">
        <v>83</v>
      </c>
      <c r="K8" s="369"/>
      <c r="L8" s="84"/>
      <c r="M8" s="361"/>
      <c r="N8" s="328"/>
      <c r="O8" s="354"/>
      <c r="P8" s="65"/>
      <c r="Q8" s="85" t="s">
        <v>81</v>
      </c>
      <c r="R8" s="86"/>
      <c r="S8" s="87" t="s">
        <v>81</v>
      </c>
    </row>
    <row r="9" spans="1:48" s="73" customFormat="1" ht="127.15" customHeight="1" x14ac:dyDescent="0.3">
      <c r="B9" s="334" t="s">
        <v>84</v>
      </c>
      <c r="C9" s="334" t="s">
        <v>85</v>
      </c>
      <c r="D9" s="368" t="s">
        <v>86</v>
      </c>
      <c r="E9" s="327" t="s">
        <v>71</v>
      </c>
      <c r="F9" s="374" t="s">
        <v>87</v>
      </c>
      <c r="G9" s="367" t="s">
        <v>88</v>
      </c>
      <c r="H9" s="67" t="s">
        <v>89</v>
      </c>
      <c r="I9" s="67" t="s">
        <v>90</v>
      </c>
      <c r="J9" s="67" t="s">
        <v>91</v>
      </c>
      <c r="K9" s="369"/>
      <c r="L9" s="88">
        <v>25000000</v>
      </c>
      <c r="M9" s="327" t="s">
        <v>92</v>
      </c>
      <c r="N9" s="368" t="s">
        <v>93</v>
      </c>
      <c r="O9" s="67"/>
      <c r="P9" s="65" t="s">
        <v>81</v>
      </c>
      <c r="Q9" s="85" t="s">
        <v>81</v>
      </c>
      <c r="R9" s="86" t="s">
        <v>81</v>
      </c>
      <c r="S9" s="87" t="s">
        <v>81</v>
      </c>
    </row>
    <row r="10" spans="1:48" s="73" customFormat="1" ht="66.75" thickBot="1" x14ac:dyDescent="0.35">
      <c r="B10" s="335"/>
      <c r="C10" s="335"/>
      <c r="D10" s="370"/>
      <c r="E10" s="328"/>
      <c r="F10" s="370"/>
      <c r="G10" s="328"/>
      <c r="H10" s="66" t="s">
        <v>94</v>
      </c>
      <c r="I10" s="66" t="s">
        <v>95</v>
      </c>
      <c r="J10" s="67" t="s">
        <v>96</v>
      </c>
      <c r="K10" s="370"/>
      <c r="L10" s="67" t="s">
        <v>97</v>
      </c>
      <c r="M10" s="328"/>
      <c r="N10" s="370"/>
      <c r="O10" s="65"/>
      <c r="P10" s="65" t="s">
        <v>81</v>
      </c>
      <c r="Q10" s="85" t="s">
        <v>81</v>
      </c>
      <c r="R10" s="86" t="s">
        <v>81</v>
      </c>
      <c r="S10" s="87" t="s">
        <v>81</v>
      </c>
    </row>
    <row r="11" spans="1:48" ht="15.7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ht="15.75" customHeight="1" thickBot="1" x14ac:dyDescent="0.35">
      <c r="A12" s="1"/>
      <c r="C12" s="68"/>
      <c r="D12" s="68"/>
      <c r="E12" s="68"/>
      <c r="F12" s="68"/>
      <c r="G12" s="68"/>
      <c r="H12" s="68"/>
      <c r="I12" s="68"/>
      <c r="J12" s="68"/>
      <c r="K12" s="68"/>
      <c r="L12" s="68"/>
      <c r="M12" s="68"/>
      <c r="N12" s="68"/>
      <c r="O12" s="68"/>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ht="15.75" customHeight="1" x14ac:dyDescent="0.3">
      <c r="A13" s="1"/>
      <c r="B13" s="375" t="s">
        <v>98</v>
      </c>
      <c r="C13" s="376"/>
      <c r="D13" s="376"/>
      <c r="E13" s="376"/>
      <c r="F13" s="376"/>
      <c r="G13" s="376"/>
      <c r="H13" s="376"/>
      <c r="I13" s="376"/>
      <c r="J13" s="376"/>
      <c r="K13" s="376"/>
      <c r="L13" s="376"/>
      <c r="M13" s="376"/>
      <c r="N13" s="376"/>
      <c r="O13" s="377"/>
      <c r="P13" s="355" t="s">
        <v>64</v>
      </c>
      <c r="Q13" s="356"/>
      <c r="R13" s="356"/>
      <c r="S13" s="357"/>
      <c r="T13" s="355" t="s">
        <v>64</v>
      </c>
      <c r="U13" s="356"/>
      <c r="V13" s="356"/>
      <c r="W13" s="357"/>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ht="15.75" customHeight="1" x14ac:dyDescent="0.3">
      <c r="A14" s="1"/>
      <c r="B14" s="378"/>
      <c r="C14" s="379"/>
      <c r="D14" s="379"/>
      <c r="E14" s="379"/>
      <c r="F14" s="379"/>
      <c r="G14" s="379"/>
      <c r="H14" s="379"/>
      <c r="I14" s="379"/>
      <c r="J14" s="379"/>
      <c r="K14" s="379"/>
      <c r="L14" s="379"/>
      <c r="M14" s="379"/>
      <c r="N14" s="379"/>
      <c r="O14" s="380"/>
      <c r="P14" s="347" t="s">
        <v>65</v>
      </c>
      <c r="Q14" s="348"/>
      <c r="R14" s="348"/>
      <c r="S14" s="349"/>
      <c r="T14" s="347" t="s">
        <v>99</v>
      </c>
      <c r="U14" s="348"/>
      <c r="V14" s="348"/>
      <c r="W14" s="349"/>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ht="15.75" customHeight="1" thickBot="1" x14ac:dyDescent="0.35">
      <c r="A15" s="1"/>
      <c r="B15" s="381"/>
      <c r="C15" s="382"/>
      <c r="D15" s="382"/>
      <c r="E15" s="382"/>
      <c r="F15" s="382"/>
      <c r="G15" s="382"/>
      <c r="H15" s="382"/>
      <c r="I15" s="382"/>
      <c r="J15" s="382"/>
      <c r="K15" s="382"/>
      <c r="L15" s="382"/>
      <c r="M15" s="382"/>
      <c r="N15" s="382"/>
      <c r="O15" s="383"/>
      <c r="P15" s="30" t="s">
        <v>66</v>
      </c>
      <c r="Q15" s="4" t="s">
        <v>67</v>
      </c>
      <c r="R15" s="4" t="s">
        <v>68</v>
      </c>
      <c r="S15" s="5" t="s">
        <v>69</v>
      </c>
      <c r="T15" s="30" t="s">
        <v>66</v>
      </c>
      <c r="U15" s="4" t="s">
        <v>67</v>
      </c>
      <c r="V15" s="4" t="s">
        <v>68</v>
      </c>
      <c r="W15" s="5" t="s">
        <v>69</v>
      </c>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s="135" customFormat="1" ht="85.5" customHeight="1" x14ac:dyDescent="0.3">
      <c r="A16" s="127"/>
      <c r="B16" s="74" t="s">
        <v>27</v>
      </c>
      <c r="C16" s="74" t="s">
        <v>28</v>
      </c>
      <c r="D16" s="288" t="s">
        <v>100</v>
      </c>
      <c r="E16" s="75" t="s">
        <v>71</v>
      </c>
      <c r="F16" s="288" t="s">
        <v>101</v>
      </c>
      <c r="G16" s="125" t="s">
        <v>102</v>
      </c>
      <c r="H16" s="128" t="s">
        <v>103</v>
      </c>
      <c r="I16" s="128" t="s">
        <v>104</v>
      </c>
      <c r="J16" s="129" t="s">
        <v>105</v>
      </c>
      <c r="K16" s="327" t="s">
        <v>77</v>
      </c>
      <c r="L16" s="130" t="s">
        <v>106</v>
      </c>
      <c r="M16" s="75" t="s">
        <v>78</v>
      </c>
      <c r="N16" s="75" t="s">
        <v>107</v>
      </c>
      <c r="O16" s="75"/>
      <c r="P16" s="289"/>
      <c r="Q16" s="290"/>
      <c r="R16" s="291"/>
      <c r="S16" s="292"/>
      <c r="T16" s="131"/>
      <c r="U16" s="132"/>
      <c r="V16" s="133"/>
      <c r="W16" s="134"/>
      <c r="X16" s="127"/>
      <c r="Y16" s="127"/>
      <c r="Z16" s="127"/>
      <c r="AA16" s="127"/>
      <c r="AB16" s="127"/>
      <c r="AC16" s="127"/>
      <c r="AD16" s="127"/>
      <c r="AE16" s="127"/>
      <c r="AF16" s="127"/>
      <c r="AG16" s="127"/>
      <c r="AH16" s="127"/>
      <c r="AI16" s="127"/>
      <c r="AJ16" s="127"/>
      <c r="AK16" s="127"/>
      <c r="AL16" s="127"/>
      <c r="AM16" s="127"/>
      <c r="AN16" s="127"/>
      <c r="AO16" s="127"/>
    </row>
    <row r="17" spans="1:60" s="135" customFormat="1" ht="180" customHeight="1" x14ac:dyDescent="0.3">
      <c r="A17" s="127"/>
      <c r="B17" s="74" t="s">
        <v>84</v>
      </c>
      <c r="C17" s="74" t="s">
        <v>108</v>
      </c>
      <c r="D17" s="288" t="s">
        <v>109</v>
      </c>
      <c r="E17" s="64" t="s">
        <v>71</v>
      </c>
      <c r="F17" s="288" t="s">
        <v>110</v>
      </c>
      <c r="G17" s="294" t="s">
        <v>111</v>
      </c>
      <c r="H17" s="136" t="s">
        <v>112</v>
      </c>
      <c r="I17" s="75" t="s">
        <v>113</v>
      </c>
      <c r="J17" s="75" t="s">
        <v>114</v>
      </c>
      <c r="K17" s="328"/>
      <c r="L17" s="89">
        <v>8000000</v>
      </c>
      <c r="M17" s="125" t="s">
        <v>115</v>
      </c>
      <c r="N17" s="75" t="s">
        <v>116</v>
      </c>
      <c r="O17" s="75"/>
      <c r="P17" s="125"/>
      <c r="Q17" s="125" t="s">
        <v>81</v>
      </c>
      <c r="R17" s="125"/>
      <c r="S17" s="125"/>
      <c r="T17" s="125"/>
      <c r="U17" s="125"/>
      <c r="V17" s="125"/>
      <c r="W17" s="125"/>
      <c r="X17" s="127"/>
      <c r="Y17" s="127"/>
      <c r="Z17" s="127"/>
      <c r="AA17" s="127"/>
      <c r="AB17" s="127"/>
      <c r="AC17" s="127"/>
      <c r="AD17" s="127"/>
      <c r="AE17" s="127"/>
      <c r="AF17" s="127"/>
      <c r="AG17" s="127"/>
      <c r="AH17" s="127"/>
      <c r="AI17" s="127"/>
      <c r="AJ17" s="127"/>
      <c r="AK17" s="127"/>
      <c r="AL17" s="127"/>
      <c r="AM17" s="127"/>
      <c r="AN17" s="127"/>
      <c r="AO17" s="127"/>
    </row>
    <row r="18" spans="1:60" ht="15.75" customHeight="1" thickBot="1" x14ac:dyDescent="0.35">
      <c r="A18" s="1"/>
      <c r="B18" s="1"/>
      <c r="C18" s="1"/>
      <c r="D18" s="1"/>
      <c r="E18" s="1"/>
      <c r="F18" s="1"/>
      <c r="G18" s="1"/>
      <c r="H18" s="1"/>
      <c r="I18" s="1"/>
      <c r="J18" s="1"/>
      <c r="K18" s="1"/>
      <c r="L18" s="1"/>
      <c r="M18" s="1"/>
      <c r="N18" s="1"/>
      <c r="O18" s="1"/>
      <c r="P18" s="1"/>
      <c r="Q18" s="1"/>
      <c r="R18" s="1"/>
      <c r="S18" s="1"/>
      <c r="T18" s="1"/>
      <c r="X18" s="71"/>
      <c r="Y18" s="1"/>
      <c r="Z18" s="1"/>
      <c r="AA18" s="1"/>
      <c r="AB18" s="1"/>
      <c r="AC18" s="1"/>
      <c r="AD18" s="1"/>
      <c r="AE18" s="1"/>
      <c r="AF18" s="1"/>
      <c r="AG18" s="1"/>
      <c r="AH18" s="1"/>
      <c r="AI18" s="1"/>
      <c r="AJ18" s="1"/>
      <c r="AK18" s="1"/>
      <c r="AL18" s="1"/>
      <c r="AM18" s="1"/>
      <c r="AN18" s="1"/>
      <c r="AO18" s="1"/>
      <c r="AP18" s="1"/>
      <c r="AQ18" s="1"/>
    </row>
    <row r="19" spans="1:60" ht="15.75" customHeight="1" thickBot="1" x14ac:dyDescent="0.35">
      <c r="A19" s="1"/>
      <c r="B19" s="61" t="s">
        <v>117</v>
      </c>
      <c r="C19" s="62"/>
      <c r="D19" s="62"/>
      <c r="E19" s="62"/>
      <c r="F19" s="62"/>
      <c r="G19" s="62"/>
      <c r="H19" s="62"/>
      <c r="I19" s="62"/>
      <c r="J19" s="62"/>
      <c r="K19" s="62"/>
      <c r="L19" s="62"/>
      <c r="M19" s="62"/>
      <c r="N19" s="62"/>
      <c r="O19" s="62"/>
      <c r="P19" s="62"/>
      <c r="Q19" s="62"/>
      <c r="R19" s="62"/>
      <c r="S19" s="62"/>
      <c r="T19" s="62"/>
      <c r="U19" s="62"/>
      <c r="V19" s="62"/>
      <c r="W19" s="62"/>
      <c r="X19" s="62"/>
      <c r="Y19" s="62"/>
      <c r="Z19" s="62"/>
      <c r="AA19" s="63"/>
      <c r="AB19" s="1"/>
      <c r="AC19" s="1"/>
      <c r="AD19" s="1"/>
      <c r="AE19" s="1"/>
      <c r="AF19" s="1"/>
      <c r="AG19" s="1"/>
      <c r="AH19" s="1"/>
      <c r="AI19" s="1"/>
      <c r="AJ19" s="1"/>
      <c r="AK19" s="1"/>
      <c r="AL19" s="1"/>
      <c r="AM19" s="1"/>
      <c r="AN19" s="1"/>
      <c r="AO19" s="1"/>
      <c r="AP19" s="1"/>
      <c r="AQ19" s="1"/>
    </row>
    <row r="20" spans="1:60" ht="66.75" customHeight="1" thickBot="1" x14ac:dyDescent="0.35">
      <c r="A20" s="1"/>
      <c r="B20" s="24"/>
      <c r="C20" s="24"/>
      <c r="D20" s="25"/>
      <c r="E20" s="25"/>
      <c r="F20" s="25"/>
      <c r="G20" s="26"/>
      <c r="H20" s="3"/>
      <c r="I20" s="26"/>
      <c r="J20" s="3"/>
      <c r="K20" s="26"/>
      <c r="L20" s="3"/>
      <c r="M20" s="26"/>
      <c r="N20" s="26"/>
      <c r="O20" s="26"/>
      <c r="P20" s="33"/>
      <c r="Q20" s="34"/>
      <c r="R20" s="35"/>
      <c r="S20" s="36"/>
      <c r="T20" s="33"/>
      <c r="U20" s="34"/>
      <c r="V20" s="35"/>
      <c r="W20" s="36"/>
      <c r="X20" s="33"/>
      <c r="Y20" s="34"/>
      <c r="Z20" s="35"/>
      <c r="AA20" s="36"/>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row>
    <row r="21" spans="1:60" ht="15.75" customHeight="1" thickBot="1" x14ac:dyDescent="0.35">
      <c r="A21" s="1"/>
      <c r="B21" s="72"/>
      <c r="C21" s="72"/>
      <c r="D21" s="72"/>
      <c r="E21" s="72"/>
      <c r="F21" s="72"/>
      <c r="G21" s="72"/>
      <c r="H21" s="72"/>
      <c r="I21" s="72"/>
      <c r="J21" s="72"/>
      <c r="K21" s="72"/>
      <c r="L21" s="72"/>
      <c r="M21" s="72"/>
      <c r="N21" s="72"/>
      <c r="O21" s="72"/>
      <c r="P21" s="8"/>
      <c r="Q21" s="31"/>
      <c r="R21" s="7"/>
      <c r="S21" s="32"/>
      <c r="T21" s="32"/>
      <c r="U21" s="32"/>
      <c r="V21" s="2"/>
      <c r="W21" s="2"/>
      <c r="X21" s="72"/>
      <c r="Y21" s="72"/>
      <c r="Z21" s="72"/>
      <c r="AA21" s="72"/>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row>
    <row r="22" spans="1:60"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row>
    <row r="23" spans="1:60"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row>
    <row r="24" spans="1:60"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row>
    <row r="25" spans="1:60" ht="15.75" customHeight="1" x14ac:dyDescent="0.3">
      <c r="A25" s="1"/>
      <c r="B25" s="1"/>
      <c r="C25" s="1"/>
      <c r="D25" s="1"/>
      <c r="E25" s="1"/>
      <c r="F25" s="1"/>
      <c r="G25" s="1"/>
      <c r="H25" s="1"/>
      <c r="I25" s="1"/>
      <c r="J25" s="1"/>
      <c r="K25" s="1"/>
      <c r="L25" s="1"/>
      <c r="M25" s="1"/>
      <c r="N25" s="1"/>
      <c r="O25" s="1"/>
      <c r="P25" s="1"/>
      <c r="Q25" s="1"/>
      <c r="R25" s="1"/>
      <c r="S25" s="1"/>
      <c r="T25" s="1"/>
      <c r="U25" s="1"/>
      <c r="V25" s="1"/>
      <c r="W25" s="1"/>
      <c r="X25" s="69"/>
      <c r="Y25" s="69"/>
      <c r="Z25" s="69"/>
      <c r="AA25" s="69"/>
      <c r="AB25" s="69"/>
    </row>
    <row r="26" spans="1:60" ht="15.75" customHeight="1" x14ac:dyDescent="0.3">
      <c r="A26" s="1"/>
      <c r="B26" s="1"/>
      <c r="C26" s="1"/>
      <c r="D26" s="1"/>
      <c r="E26" s="1"/>
      <c r="F26" s="1"/>
      <c r="G26" s="1"/>
      <c r="H26" s="1"/>
      <c r="I26" s="1"/>
      <c r="J26" s="1"/>
      <c r="K26" s="1"/>
      <c r="L26" s="1"/>
      <c r="M26" s="1"/>
      <c r="N26" s="1"/>
      <c r="O26" s="1"/>
      <c r="P26" s="1"/>
      <c r="Q26" s="1"/>
      <c r="R26" s="1"/>
      <c r="S26" s="1"/>
      <c r="T26" s="1"/>
      <c r="U26" s="1"/>
      <c r="V26" s="1"/>
      <c r="W26" s="1"/>
      <c r="X26" s="69"/>
      <c r="Y26" s="69"/>
      <c r="Z26" s="69"/>
      <c r="AA26" s="69"/>
      <c r="AB26" s="69"/>
    </row>
    <row r="27" spans="1:60" ht="15.75" customHeight="1" x14ac:dyDescent="0.3">
      <c r="A27" s="1"/>
      <c r="B27" s="1"/>
      <c r="C27" s="1"/>
      <c r="D27" s="1"/>
      <c r="E27" s="1"/>
      <c r="F27" s="1"/>
      <c r="G27" s="1"/>
      <c r="H27" s="1"/>
      <c r="I27" s="1"/>
      <c r="J27" s="1"/>
      <c r="K27" s="1"/>
      <c r="L27" s="1"/>
      <c r="M27" s="1"/>
      <c r="N27" s="1"/>
      <c r="O27" s="1"/>
      <c r="P27" s="1"/>
      <c r="Q27" s="1"/>
      <c r="R27" s="1"/>
      <c r="S27" s="1"/>
      <c r="T27" s="1"/>
      <c r="U27" s="1"/>
      <c r="V27" s="1"/>
      <c r="W27" s="1"/>
      <c r="X27" s="69"/>
      <c r="Y27" s="69"/>
      <c r="Z27" s="69"/>
      <c r="AA27" s="69"/>
      <c r="AB27" s="69"/>
    </row>
    <row r="28" spans="1:60" ht="15.75" customHeight="1" x14ac:dyDescent="0.3">
      <c r="A28" s="1"/>
      <c r="B28" s="1"/>
      <c r="C28" s="1"/>
      <c r="D28" s="1"/>
      <c r="E28" s="1"/>
      <c r="F28" s="1"/>
      <c r="G28" s="1"/>
      <c r="H28" s="1"/>
      <c r="I28" s="1"/>
      <c r="J28" s="1"/>
      <c r="K28" s="1"/>
      <c r="L28" s="1"/>
      <c r="M28" s="1"/>
      <c r="N28" s="1"/>
      <c r="O28" s="1"/>
      <c r="P28" s="1"/>
      <c r="Q28" s="1"/>
      <c r="R28" s="1"/>
      <c r="S28" s="1"/>
      <c r="T28" s="1"/>
      <c r="U28" s="1"/>
      <c r="V28" s="1"/>
      <c r="W28" s="1"/>
      <c r="X28" s="69"/>
      <c r="Y28" s="69"/>
      <c r="Z28" s="69"/>
      <c r="AA28" s="69"/>
      <c r="AB28" s="69"/>
    </row>
    <row r="29" spans="1:60" ht="15.75" customHeight="1" x14ac:dyDescent="0.3">
      <c r="A29" s="1"/>
      <c r="B29" s="1"/>
      <c r="C29" s="1"/>
      <c r="D29" s="1"/>
      <c r="E29" s="1"/>
      <c r="F29" s="1"/>
      <c r="G29" s="1"/>
      <c r="H29" s="1"/>
      <c r="I29" s="1"/>
      <c r="J29" s="1"/>
      <c r="K29" s="1"/>
      <c r="L29" s="1"/>
      <c r="M29" s="1"/>
      <c r="N29" s="1"/>
      <c r="O29" s="1"/>
      <c r="P29" s="1"/>
      <c r="Q29" s="1"/>
      <c r="R29" s="1"/>
      <c r="S29" s="1"/>
      <c r="T29" s="1"/>
      <c r="U29" s="1"/>
      <c r="V29" s="1"/>
      <c r="W29" s="1"/>
      <c r="X29" s="69"/>
      <c r="Y29" s="69"/>
      <c r="Z29" s="69"/>
      <c r="AA29" s="69"/>
      <c r="AB29" s="69"/>
    </row>
    <row r="30" spans="1:60" ht="15.75" customHeight="1" x14ac:dyDescent="0.3">
      <c r="A30" s="1"/>
      <c r="B30" s="1"/>
      <c r="C30" s="1"/>
      <c r="D30" s="1"/>
      <c r="E30" s="1"/>
      <c r="F30" s="1"/>
      <c r="G30" s="1"/>
      <c r="H30" s="1"/>
      <c r="I30" s="1"/>
      <c r="J30" s="1"/>
      <c r="K30" s="1"/>
      <c r="L30" s="1"/>
      <c r="M30" s="1"/>
      <c r="N30" s="1"/>
      <c r="O30" s="1"/>
      <c r="P30" s="1"/>
      <c r="Q30" s="1"/>
      <c r="R30" s="1"/>
      <c r="S30" s="1"/>
      <c r="T30" s="1"/>
      <c r="U30" s="1"/>
      <c r="V30" s="1"/>
      <c r="W30" s="1"/>
      <c r="X30" s="69"/>
      <c r="Y30" s="69"/>
      <c r="Z30" s="69"/>
      <c r="AA30" s="69"/>
      <c r="AB30" s="69"/>
    </row>
    <row r="31" spans="1:60" ht="15.75" customHeight="1" x14ac:dyDescent="0.3">
      <c r="A31" s="1"/>
      <c r="B31" s="1"/>
      <c r="C31" s="1"/>
      <c r="D31" s="1"/>
      <c r="E31" s="1"/>
      <c r="F31" s="1"/>
      <c r="G31" s="1"/>
      <c r="H31" s="1"/>
      <c r="I31" s="1"/>
      <c r="J31" s="1"/>
      <c r="K31" s="1"/>
      <c r="L31" s="1"/>
      <c r="M31" s="1"/>
      <c r="N31" s="1"/>
      <c r="O31" s="1"/>
      <c r="P31" s="1"/>
      <c r="Q31" s="1"/>
      <c r="R31" s="1"/>
      <c r="S31" s="1"/>
      <c r="T31" s="1"/>
      <c r="U31" s="1"/>
      <c r="V31" s="1"/>
      <c r="W31" s="1"/>
      <c r="X31" s="69"/>
      <c r="Y31" s="69"/>
      <c r="Z31" s="69"/>
      <c r="AA31" s="69"/>
      <c r="AB31" s="69"/>
    </row>
    <row r="32" spans="1:60" ht="15.75" customHeight="1" x14ac:dyDescent="0.3">
      <c r="A32" s="1"/>
      <c r="B32" s="1"/>
      <c r="C32" s="1"/>
      <c r="D32" s="1"/>
      <c r="E32" s="1"/>
      <c r="F32" s="1"/>
      <c r="G32" s="1"/>
      <c r="H32" s="1"/>
      <c r="I32" s="1"/>
      <c r="J32" s="1"/>
      <c r="K32" s="1"/>
      <c r="L32" s="1"/>
      <c r="M32" s="1"/>
      <c r="N32" s="1"/>
      <c r="O32" s="1"/>
      <c r="P32" s="1"/>
      <c r="Q32" s="1"/>
      <c r="R32" s="1"/>
      <c r="S32" s="1"/>
      <c r="T32" s="1"/>
      <c r="U32" s="1"/>
      <c r="V32" s="1"/>
      <c r="W32" s="1"/>
      <c r="X32" s="69"/>
      <c r="Y32" s="69"/>
      <c r="Z32" s="69"/>
      <c r="AA32" s="69"/>
      <c r="AB32" s="69"/>
    </row>
    <row r="33" spans="1:28" ht="15.75" customHeight="1" x14ac:dyDescent="0.3">
      <c r="A33" s="1"/>
      <c r="B33" s="1"/>
      <c r="C33" s="1"/>
      <c r="D33" s="1"/>
      <c r="E33" s="1"/>
      <c r="F33" s="1"/>
      <c r="G33" s="1"/>
      <c r="H33" s="1"/>
      <c r="I33" s="1"/>
      <c r="J33" s="1"/>
      <c r="K33" s="1"/>
      <c r="L33" s="1"/>
      <c r="M33" s="1"/>
      <c r="N33" s="1"/>
      <c r="O33" s="1"/>
      <c r="P33" s="1"/>
      <c r="Q33" s="1"/>
      <c r="R33" s="1"/>
      <c r="S33" s="1"/>
      <c r="T33" s="1"/>
      <c r="U33" s="1"/>
      <c r="V33" s="1"/>
      <c r="W33" s="1"/>
      <c r="X33" s="69"/>
      <c r="Y33" s="69"/>
      <c r="Z33" s="69"/>
      <c r="AA33" s="69"/>
      <c r="AB33" s="69"/>
    </row>
    <row r="34" spans="1:28" ht="15.75" customHeight="1" x14ac:dyDescent="0.3">
      <c r="A34" s="1"/>
      <c r="B34" s="1"/>
      <c r="C34" s="1"/>
      <c r="D34" s="1"/>
      <c r="E34" s="1"/>
      <c r="F34" s="1"/>
      <c r="G34" s="1"/>
      <c r="H34" s="1"/>
      <c r="I34" s="1"/>
      <c r="J34" s="1"/>
      <c r="K34" s="1"/>
      <c r="L34" s="1"/>
      <c r="M34" s="1"/>
      <c r="N34" s="1"/>
      <c r="O34" s="1"/>
      <c r="P34" s="1"/>
      <c r="Q34" s="1"/>
      <c r="R34" s="1"/>
      <c r="S34" s="1"/>
      <c r="T34" s="1"/>
      <c r="U34" s="1"/>
      <c r="V34" s="1"/>
      <c r="W34" s="1"/>
      <c r="X34" s="69"/>
      <c r="Y34" s="69"/>
      <c r="Z34" s="69"/>
      <c r="AA34" s="69"/>
      <c r="AB34" s="69"/>
    </row>
    <row r="35" spans="1:28" ht="15.75" customHeight="1" x14ac:dyDescent="0.3">
      <c r="A35" s="1"/>
      <c r="B35" s="1"/>
      <c r="C35" s="1"/>
      <c r="D35" s="1"/>
      <c r="E35" s="1"/>
      <c r="F35" s="1"/>
      <c r="G35" s="1"/>
      <c r="H35" s="1"/>
      <c r="I35" s="1"/>
      <c r="J35" s="1"/>
      <c r="K35" s="1"/>
      <c r="L35" s="1"/>
      <c r="M35" s="1"/>
      <c r="N35" s="1"/>
      <c r="O35" s="1"/>
      <c r="P35" s="1"/>
      <c r="Q35" s="1"/>
      <c r="R35" s="1"/>
      <c r="S35" s="1"/>
      <c r="T35" s="1"/>
      <c r="U35" s="1"/>
      <c r="V35" s="1"/>
      <c r="W35" s="1"/>
      <c r="X35" s="69"/>
      <c r="Y35" s="69"/>
      <c r="Z35" s="69"/>
      <c r="AA35" s="69"/>
      <c r="AB35" s="69"/>
    </row>
    <row r="36" spans="1:28" ht="15.75" customHeight="1" x14ac:dyDescent="0.3">
      <c r="A36" s="1"/>
      <c r="B36" s="1"/>
      <c r="C36" s="1"/>
      <c r="D36" s="1"/>
      <c r="E36" s="1"/>
      <c r="F36" s="1"/>
      <c r="G36" s="1"/>
      <c r="H36" s="1"/>
      <c r="I36" s="1"/>
      <c r="J36" s="1"/>
      <c r="K36" s="1"/>
      <c r="L36" s="1"/>
      <c r="M36" s="1"/>
      <c r="N36" s="1"/>
      <c r="O36" s="1"/>
      <c r="P36" s="1"/>
      <c r="Q36" s="1"/>
      <c r="R36" s="1"/>
      <c r="S36" s="1"/>
      <c r="T36" s="1"/>
      <c r="U36" s="1"/>
      <c r="V36" s="1"/>
      <c r="W36" s="1"/>
      <c r="X36" s="69"/>
      <c r="Y36" s="69"/>
      <c r="Z36" s="69"/>
      <c r="AA36" s="69"/>
      <c r="AB36" s="69"/>
    </row>
    <row r="37" spans="1:28" ht="15.75" customHeight="1" x14ac:dyDescent="0.3">
      <c r="A37" s="1"/>
      <c r="B37" s="1"/>
      <c r="C37" s="1"/>
      <c r="D37" s="1"/>
      <c r="E37" s="1"/>
      <c r="F37" s="1"/>
      <c r="G37" s="1"/>
      <c r="H37" s="1"/>
      <c r="I37" s="1"/>
      <c r="J37" s="1"/>
      <c r="K37" s="1"/>
      <c r="L37" s="1"/>
      <c r="M37" s="1"/>
      <c r="N37" s="1"/>
      <c r="O37" s="1"/>
      <c r="P37" s="1"/>
      <c r="Q37" s="1"/>
      <c r="R37" s="1"/>
      <c r="S37" s="1"/>
      <c r="T37" s="1"/>
      <c r="U37" s="1"/>
      <c r="V37" s="1"/>
      <c r="W37" s="1"/>
      <c r="X37" s="69"/>
      <c r="Y37" s="69"/>
      <c r="Z37" s="69"/>
      <c r="AA37" s="69"/>
      <c r="AB37" s="69"/>
    </row>
    <row r="38" spans="1:28" ht="15.75" customHeight="1" x14ac:dyDescent="0.3">
      <c r="A38" s="1"/>
      <c r="B38" s="1"/>
      <c r="C38" s="1"/>
      <c r="D38" s="1"/>
      <c r="E38" s="1"/>
      <c r="F38" s="1"/>
      <c r="G38" s="1"/>
      <c r="H38" s="1"/>
      <c r="I38" s="1"/>
      <c r="J38" s="1"/>
      <c r="K38" s="1"/>
      <c r="L38" s="1"/>
      <c r="M38" s="1"/>
      <c r="N38" s="1"/>
      <c r="O38" s="1"/>
      <c r="P38" s="1"/>
      <c r="Q38" s="1"/>
      <c r="R38" s="1"/>
      <c r="S38" s="1"/>
      <c r="T38" s="1"/>
      <c r="U38" s="1"/>
      <c r="V38" s="1"/>
      <c r="W38" s="1"/>
      <c r="X38" s="69"/>
      <c r="Y38" s="69"/>
      <c r="Z38" s="69"/>
      <c r="AA38" s="69"/>
      <c r="AB38" s="69"/>
    </row>
    <row r="39" spans="1:28" ht="15.75" customHeight="1" x14ac:dyDescent="0.3">
      <c r="A39" s="1"/>
      <c r="B39" s="1"/>
      <c r="C39" s="1"/>
      <c r="D39" s="1"/>
      <c r="E39" s="1"/>
      <c r="F39" s="1"/>
      <c r="G39" s="1"/>
      <c r="H39" s="1"/>
      <c r="I39" s="1"/>
      <c r="J39" s="1"/>
      <c r="K39" s="1"/>
      <c r="L39" s="1"/>
      <c r="M39" s="1"/>
      <c r="N39" s="1"/>
      <c r="O39" s="1"/>
      <c r="P39" s="1"/>
      <c r="Q39" s="1"/>
      <c r="R39" s="1"/>
      <c r="S39" s="1"/>
      <c r="T39" s="1"/>
      <c r="U39" s="1"/>
      <c r="V39" s="1"/>
      <c r="W39" s="1"/>
      <c r="X39" s="69"/>
      <c r="Y39" s="69"/>
      <c r="Z39" s="69"/>
      <c r="AA39" s="69"/>
      <c r="AB39" s="69"/>
    </row>
    <row r="40" spans="1:28" ht="15.75" customHeight="1" x14ac:dyDescent="0.3">
      <c r="A40" s="1"/>
      <c r="B40" s="1"/>
      <c r="C40" s="1"/>
      <c r="D40" s="1"/>
      <c r="E40" s="1"/>
      <c r="F40" s="1"/>
      <c r="G40" s="1"/>
      <c r="H40" s="1"/>
      <c r="I40" s="1"/>
      <c r="J40" s="1"/>
      <c r="K40" s="1"/>
      <c r="L40" s="1"/>
      <c r="M40" s="1"/>
      <c r="N40" s="1"/>
      <c r="O40" s="1"/>
      <c r="P40" s="1"/>
      <c r="Q40" s="1"/>
      <c r="R40" s="1"/>
      <c r="S40" s="1"/>
      <c r="T40" s="1"/>
      <c r="U40" s="1"/>
      <c r="V40" s="1"/>
      <c r="W40" s="1"/>
      <c r="X40" s="69"/>
      <c r="Y40" s="69"/>
      <c r="Z40" s="69"/>
      <c r="AA40" s="69"/>
      <c r="AB40" s="69"/>
    </row>
    <row r="41" spans="1:28" ht="15.75" customHeight="1" x14ac:dyDescent="0.3">
      <c r="A41" s="1"/>
      <c r="B41" s="1"/>
      <c r="C41" s="1"/>
      <c r="D41" s="1"/>
      <c r="E41" s="1"/>
      <c r="F41" s="1"/>
      <c r="G41" s="1"/>
      <c r="H41" s="1"/>
      <c r="I41" s="1"/>
      <c r="J41" s="1"/>
      <c r="K41" s="1"/>
      <c r="L41" s="1"/>
      <c r="M41" s="1"/>
      <c r="N41" s="1"/>
      <c r="O41" s="1"/>
      <c r="P41" s="1"/>
      <c r="Q41" s="1"/>
      <c r="R41" s="1"/>
      <c r="S41" s="1"/>
      <c r="T41" s="1"/>
      <c r="U41" s="1"/>
      <c r="V41" s="1"/>
      <c r="W41" s="1"/>
      <c r="X41" s="69"/>
      <c r="Y41" s="69"/>
      <c r="Z41" s="69"/>
      <c r="AA41" s="69"/>
      <c r="AB41" s="69"/>
    </row>
    <row r="42" spans="1:28" ht="15.75" customHeight="1" x14ac:dyDescent="0.3">
      <c r="A42" s="1"/>
      <c r="B42" s="1"/>
      <c r="C42" s="1"/>
      <c r="D42" s="1"/>
      <c r="E42" s="1"/>
      <c r="F42" s="1"/>
      <c r="G42" s="1"/>
      <c r="H42" s="1"/>
      <c r="I42" s="1"/>
      <c r="J42" s="1"/>
      <c r="K42" s="1"/>
      <c r="L42" s="1"/>
      <c r="M42" s="1"/>
      <c r="N42" s="1"/>
      <c r="O42" s="1"/>
      <c r="P42" s="1"/>
      <c r="Q42" s="1"/>
      <c r="R42" s="1"/>
      <c r="S42" s="1"/>
      <c r="T42" s="1"/>
      <c r="U42" s="1"/>
      <c r="V42" s="1"/>
      <c r="W42" s="1"/>
      <c r="X42" s="69"/>
      <c r="Y42" s="69"/>
      <c r="Z42" s="69"/>
      <c r="AA42" s="69"/>
      <c r="AB42" s="69"/>
    </row>
    <row r="43" spans="1:28" ht="15.75" customHeight="1" x14ac:dyDescent="0.3">
      <c r="A43" s="1"/>
      <c r="B43" s="1"/>
      <c r="C43" s="1"/>
      <c r="D43" s="1"/>
      <c r="E43" s="1"/>
      <c r="F43" s="1"/>
      <c r="G43" s="1"/>
      <c r="H43" s="1"/>
      <c r="I43" s="1"/>
      <c r="J43" s="1"/>
      <c r="K43" s="1"/>
      <c r="L43" s="1"/>
      <c r="M43" s="1"/>
      <c r="N43" s="1"/>
      <c r="O43" s="1"/>
      <c r="P43" s="1"/>
      <c r="Q43" s="1"/>
      <c r="R43" s="1"/>
      <c r="S43" s="1"/>
      <c r="T43" s="1"/>
      <c r="U43" s="1"/>
      <c r="V43" s="1"/>
      <c r="W43" s="1"/>
      <c r="X43" s="69"/>
      <c r="Y43" s="69"/>
      <c r="Z43" s="69"/>
      <c r="AA43" s="69"/>
      <c r="AB43" s="69"/>
    </row>
    <row r="44" spans="1:28" ht="15.75" customHeight="1" x14ac:dyDescent="0.3">
      <c r="A44" s="1"/>
      <c r="B44" s="1"/>
      <c r="C44" s="1"/>
      <c r="D44" s="1"/>
      <c r="E44" s="1"/>
      <c r="F44" s="1"/>
      <c r="G44" s="1"/>
      <c r="H44" s="1"/>
      <c r="I44" s="1"/>
      <c r="J44" s="1"/>
      <c r="K44" s="1"/>
      <c r="L44" s="1"/>
      <c r="M44" s="1"/>
      <c r="N44" s="1"/>
      <c r="O44" s="1"/>
      <c r="P44" s="1"/>
      <c r="Q44" s="1"/>
      <c r="R44" s="1"/>
      <c r="S44" s="1"/>
      <c r="T44" s="1"/>
      <c r="U44" s="1"/>
      <c r="V44" s="1"/>
      <c r="W44" s="1"/>
      <c r="X44" s="69"/>
      <c r="Y44" s="69"/>
      <c r="Z44" s="69"/>
      <c r="AA44" s="69"/>
      <c r="AB44" s="69"/>
    </row>
    <row r="45" spans="1:28" ht="15.75" customHeight="1" x14ac:dyDescent="0.3">
      <c r="A45" s="1"/>
      <c r="B45" s="1"/>
      <c r="C45" s="1"/>
      <c r="D45" s="1"/>
      <c r="E45" s="1"/>
      <c r="F45" s="1"/>
      <c r="G45" s="1"/>
      <c r="H45" s="1"/>
      <c r="I45" s="1"/>
      <c r="J45" s="1"/>
      <c r="K45" s="1"/>
      <c r="L45" s="1"/>
      <c r="M45" s="1"/>
      <c r="N45" s="1"/>
      <c r="O45" s="1"/>
      <c r="P45" s="1"/>
      <c r="Q45" s="1"/>
      <c r="R45" s="1"/>
      <c r="S45" s="1"/>
      <c r="T45" s="1"/>
      <c r="U45" s="1"/>
      <c r="V45" s="1"/>
      <c r="W45" s="1"/>
      <c r="X45" s="69"/>
      <c r="Y45" s="69"/>
      <c r="Z45" s="69"/>
      <c r="AA45" s="69"/>
      <c r="AB45" s="69"/>
    </row>
    <row r="46" spans="1:28" ht="15.75" customHeight="1" x14ac:dyDescent="0.3">
      <c r="A46" s="1"/>
      <c r="B46" s="1"/>
      <c r="C46" s="1"/>
      <c r="D46" s="1"/>
      <c r="E46" s="1"/>
      <c r="F46" s="1"/>
      <c r="G46" s="1"/>
      <c r="H46" s="1"/>
      <c r="I46" s="1"/>
      <c r="J46" s="1"/>
      <c r="K46" s="1"/>
      <c r="L46" s="1"/>
      <c r="M46" s="1"/>
      <c r="N46" s="1"/>
      <c r="O46" s="1"/>
      <c r="P46" s="1"/>
      <c r="Q46" s="1"/>
      <c r="R46" s="1"/>
      <c r="S46" s="1"/>
      <c r="T46" s="1"/>
      <c r="U46" s="1"/>
      <c r="V46" s="1"/>
      <c r="W46" s="1"/>
      <c r="X46" s="69"/>
      <c r="Y46" s="69"/>
      <c r="Z46" s="69"/>
      <c r="AA46" s="69"/>
      <c r="AB46" s="69"/>
    </row>
    <row r="47" spans="1:28" ht="15.75" customHeight="1" x14ac:dyDescent="0.3">
      <c r="A47" s="1"/>
      <c r="B47" s="1"/>
      <c r="C47" s="1"/>
      <c r="D47" s="1"/>
      <c r="E47" s="1"/>
      <c r="F47" s="1"/>
      <c r="G47" s="1"/>
      <c r="H47" s="1"/>
      <c r="I47" s="1"/>
      <c r="J47" s="1"/>
      <c r="K47" s="1"/>
      <c r="L47" s="1"/>
      <c r="M47" s="1"/>
      <c r="N47" s="1"/>
      <c r="O47" s="1"/>
      <c r="P47" s="1"/>
      <c r="Q47" s="1"/>
      <c r="R47" s="1"/>
      <c r="S47" s="1"/>
      <c r="T47" s="1"/>
      <c r="U47" s="1"/>
      <c r="V47" s="1"/>
      <c r="W47" s="1"/>
      <c r="X47" s="69"/>
      <c r="Y47" s="69"/>
      <c r="Z47" s="69"/>
      <c r="AA47" s="69"/>
      <c r="AB47" s="69"/>
    </row>
    <row r="48" spans="1:28" ht="15.75" customHeight="1" x14ac:dyDescent="0.3">
      <c r="A48" s="1"/>
      <c r="B48" s="1"/>
      <c r="C48" s="1"/>
      <c r="D48" s="1"/>
      <c r="E48" s="1"/>
      <c r="F48" s="1"/>
      <c r="G48" s="1"/>
      <c r="H48" s="1"/>
      <c r="I48" s="1"/>
      <c r="J48" s="1"/>
      <c r="K48" s="1"/>
      <c r="L48" s="1"/>
      <c r="M48" s="1"/>
      <c r="N48" s="1"/>
      <c r="O48" s="1"/>
      <c r="P48" s="1"/>
      <c r="Q48" s="1"/>
      <c r="R48" s="1"/>
      <c r="S48" s="1"/>
      <c r="T48" s="1"/>
      <c r="U48" s="1"/>
      <c r="V48" s="1"/>
      <c r="W48" s="1"/>
      <c r="X48" s="69"/>
      <c r="Y48" s="69"/>
      <c r="Z48" s="69"/>
      <c r="AA48" s="69"/>
      <c r="AB48" s="69"/>
    </row>
    <row r="49" spans="1:28" ht="15.75" customHeight="1" x14ac:dyDescent="0.3">
      <c r="A49" s="1"/>
      <c r="B49" s="1"/>
      <c r="C49" s="1"/>
      <c r="D49" s="1"/>
      <c r="E49" s="1"/>
      <c r="F49" s="1"/>
      <c r="G49" s="1"/>
      <c r="H49" s="1"/>
      <c r="I49" s="1"/>
      <c r="J49" s="1"/>
      <c r="K49" s="1"/>
      <c r="L49" s="1"/>
      <c r="M49" s="1"/>
      <c r="N49" s="1"/>
      <c r="O49" s="1"/>
      <c r="P49" s="1"/>
      <c r="Q49" s="1"/>
      <c r="R49" s="1"/>
      <c r="S49" s="1"/>
      <c r="T49" s="1"/>
      <c r="U49" s="1"/>
      <c r="V49" s="1"/>
      <c r="W49" s="1"/>
      <c r="X49" s="69"/>
      <c r="Y49" s="69"/>
      <c r="Z49" s="69"/>
      <c r="AA49" s="69"/>
      <c r="AB49" s="69"/>
    </row>
    <row r="50" spans="1:28" ht="15.75" customHeight="1" x14ac:dyDescent="0.3">
      <c r="A50" s="1"/>
      <c r="B50" s="1"/>
      <c r="C50" s="1"/>
      <c r="D50" s="1"/>
      <c r="E50" s="1"/>
      <c r="F50" s="1"/>
      <c r="G50" s="1"/>
      <c r="H50" s="1"/>
      <c r="I50" s="1"/>
      <c r="J50" s="1"/>
      <c r="K50" s="1"/>
      <c r="L50" s="1"/>
      <c r="M50" s="1"/>
      <c r="N50" s="1"/>
      <c r="O50" s="1"/>
      <c r="P50" s="1"/>
      <c r="Q50" s="1"/>
      <c r="R50" s="1"/>
      <c r="S50" s="1"/>
      <c r="T50" s="1"/>
      <c r="U50" s="1"/>
      <c r="V50" s="1"/>
      <c r="W50" s="1"/>
      <c r="X50" s="69"/>
      <c r="Y50" s="69"/>
      <c r="Z50" s="69"/>
      <c r="AA50" s="69"/>
      <c r="AB50" s="69"/>
    </row>
    <row r="51" spans="1:28" ht="15.75" customHeight="1" x14ac:dyDescent="0.3">
      <c r="A51" s="1"/>
      <c r="B51" s="1"/>
      <c r="C51" s="1"/>
      <c r="D51" s="1"/>
      <c r="E51" s="1"/>
      <c r="F51" s="1"/>
      <c r="G51" s="1"/>
      <c r="H51" s="1"/>
      <c r="I51" s="1"/>
      <c r="J51" s="1"/>
      <c r="K51" s="1"/>
      <c r="L51" s="1"/>
      <c r="M51" s="1"/>
      <c r="N51" s="1"/>
      <c r="O51" s="1"/>
      <c r="P51" s="1"/>
      <c r="Q51" s="1"/>
      <c r="R51" s="1"/>
      <c r="S51" s="1"/>
      <c r="T51" s="1"/>
      <c r="U51" s="1"/>
      <c r="V51" s="1"/>
      <c r="W51" s="1"/>
      <c r="X51" s="69"/>
      <c r="Y51" s="69"/>
      <c r="Z51" s="69"/>
      <c r="AA51" s="69"/>
      <c r="AB51" s="69"/>
    </row>
    <row r="52" spans="1:28" ht="15.75" customHeight="1" x14ac:dyDescent="0.3">
      <c r="A52" s="1"/>
      <c r="B52" s="1"/>
      <c r="C52" s="1"/>
      <c r="D52" s="1"/>
      <c r="E52" s="1"/>
      <c r="F52" s="1"/>
      <c r="G52" s="1"/>
      <c r="H52" s="1"/>
      <c r="I52" s="1"/>
      <c r="J52" s="1"/>
      <c r="K52" s="1"/>
      <c r="L52" s="1"/>
      <c r="M52" s="1"/>
      <c r="N52" s="1"/>
      <c r="O52" s="1"/>
      <c r="P52" s="1"/>
      <c r="Q52" s="1"/>
      <c r="R52" s="1"/>
      <c r="S52" s="1"/>
      <c r="T52" s="1"/>
      <c r="U52" s="1"/>
      <c r="V52" s="1"/>
      <c r="W52" s="1"/>
      <c r="X52" s="69"/>
      <c r="Y52" s="69"/>
      <c r="Z52" s="69"/>
      <c r="AA52" s="69"/>
      <c r="AB52" s="69"/>
    </row>
    <row r="53" spans="1:28" ht="15.75" customHeight="1" x14ac:dyDescent="0.3">
      <c r="A53" s="1"/>
      <c r="B53" s="1"/>
      <c r="C53" s="1"/>
      <c r="D53" s="1"/>
      <c r="E53" s="1"/>
      <c r="F53" s="1"/>
      <c r="G53" s="1"/>
      <c r="H53" s="1"/>
      <c r="I53" s="1"/>
      <c r="J53" s="1"/>
      <c r="K53" s="1"/>
      <c r="L53" s="1"/>
      <c r="M53" s="1"/>
      <c r="N53" s="1"/>
      <c r="O53" s="1"/>
      <c r="P53" s="1"/>
      <c r="Q53" s="1"/>
      <c r="R53" s="1"/>
      <c r="S53" s="1"/>
      <c r="T53" s="1"/>
      <c r="U53" s="1"/>
      <c r="V53" s="1"/>
      <c r="W53" s="1"/>
      <c r="X53" s="69"/>
      <c r="Y53" s="69"/>
      <c r="Z53" s="69"/>
      <c r="AA53" s="69"/>
      <c r="AB53" s="69"/>
    </row>
    <row r="54" spans="1:28" ht="15.75" customHeight="1" x14ac:dyDescent="0.3">
      <c r="A54" s="1"/>
      <c r="B54" s="1"/>
      <c r="C54" s="1"/>
      <c r="D54" s="1"/>
      <c r="E54" s="1"/>
      <c r="F54" s="1"/>
      <c r="G54" s="1"/>
      <c r="H54" s="1"/>
      <c r="I54" s="1"/>
      <c r="J54" s="1"/>
      <c r="K54" s="1"/>
      <c r="L54" s="1"/>
      <c r="M54" s="1"/>
      <c r="N54" s="1"/>
      <c r="O54" s="1"/>
      <c r="P54" s="1"/>
      <c r="Q54" s="1"/>
      <c r="R54" s="1"/>
      <c r="S54" s="1"/>
      <c r="T54" s="1"/>
      <c r="U54" s="1"/>
      <c r="V54" s="1"/>
      <c r="W54" s="1"/>
      <c r="X54" s="69"/>
      <c r="Y54" s="69"/>
      <c r="Z54" s="69"/>
      <c r="AA54" s="69"/>
      <c r="AB54" s="69"/>
    </row>
    <row r="55" spans="1:28" ht="15.75" customHeight="1" x14ac:dyDescent="0.3">
      <c r="A55" s="1"/>
      <c r="B55" s="1"/>
      <c r="C55" s="1"/>
      <c r="D55" s="1"/>
      <c r="E55" s="1"/>
      <c r="F55" s="1"/>
      <c r="G55" s="1"/>
      <c r="H55" s="1"/>
      <c r="I55" s="1"/>
      <c r="J55" s="1"/>
      <c r="K55" s="1"/>
      <c r="L55" s="1"/>
      <c r="M55" s="1"/>
      <c r="N55" s="1"/>
      <c r="O55" s="1"/>
      <c r="P55" s="1"/>
      <c r="Q55" s="1"/>
      <c r="R55" s="1"/>
      <c r="S55" s="1"/>
      <c r="T55" s="1"/>
      <c r="U55" s="1"/>
      <c r="V55" s="1"/>
      <c r="W55" s="1"/>
      <c r="X55" s="69"/>
      <c r="Y55" s="69"/>
      <c r="Z55" s="69"/>
      <c r="AA55" s="69"/>
      <c r="AB55" s="69"/>
    </row>
    <row r="56" spans="1:28" ht="15.75" customHeight="1" x14ac:dyDescent="0.3">
      <c r="A56" s="1"/>
      <c r="B56" s="1"/>
      <c r="C56" s="1"/>
      <c r="D56" s="1"/>
      <c r="E56" s="1"/>
      <c r="F56" s="1"/>
      <c r="G56" s="1"/>
      <c r="H56" s="1"/>
      <c r="I56" s="1"/>
      <c r="J56" s="1"/>
      <c r="K56" s="1"/>
      <c r="L56" s="1"/>
      <c r="M56" s="1"/>
      <c r="N56" s="1"/>
      <c r="O56" s="1"/>
      <c r="P56" s="1"/>
      <c r="Q56" s="1"/>
      <c r="R56" s="1"/>
      <c r="S56" s="1"/>
      <c r="T56" s="1"/>
      <c r="U56" s="1"/>
      <c r="V56" s="1"/>
      <c r="W56" s="1"/>
      <c r="X56" s="69"/>
      <c r="Y56" s="69"/>
      <c r="Z56" s="69"/>
      <c r="AA56" s="69"/>
      <c r="AB56" s="69"/>
    </row>
    <row r="57" spans="1:28" ht="15.75" customHeight="1" x14ac:dyDescent="0.3">
      <c r="A57" s="1"/>
      <c r="B57" s="1"/>
      <c r="C57" s="1"/>
      <c r="D57" s="1"/>
      <c r="E57" s="1"/>
      <c r="F57" s="1"/>
      <c r="G57" s="1"/>
      <c r="H57" s="1"/>
      <c r="I57" s="1"/>
      <c r="J57" s="1"/>
      <c r="K57" s="1"/>
      <c r="L57" s="1"/>
      <c r="M57" s="1"/>
      <c r="N57" s="1"/>
      <c r="O57" s="1"/>
      <c r="P57" s="1"/>
      <c r="Q57" s="1"/>
      <c r="R57" s="1"/>
      <c r="S57" s="1"/>
      <c r="T57" s="1"/>
      <c r="U57" s="1"/>
      <c r="V57" s="1"/>
      <c r="W57" s="1"/>
      <c r="X57" s="69"/>
      <c r="Y57" s="69"/>
      <c r="Z57" s="69"/>
      <c r="AA57" s="69"/>
      <c r="AB57" s="69"/>
    </row>
    <row r="58" spans="1:28" ht="15.75" customHeight="1" x14ac:dyDescent="0.3">
      <c r="A58" s="1"/>
      <c r="B58" s="1"/>
      <c r="C58" s="1"/>
      <c r="D58" s="1"/>
      <c r="E58" s="1"/>
      <c r="F58" s="1"/>
      <c r="G58" s="1"/>
      <c r="H58" s="1"/>
      <c r="I58" s="1"/>
      <c r="J58" s="1"/>
      <c r="K58" s="1"/>
      <c r="L58" s="1"/>
      <c r="M58" s="1"/>
      <c r="N58" s="1"/>
      <c r="O58" s="1"/>
      <c r="P58" s="1"/>
      <c r="Q58" s="1"/>
      <c r="R58" s="1"/>
      <c r="S58" s="1"/>
      <c r="T58" s="1"/>
      <c r="U58" s="1"/>
      <c r="V58" s="1"/>
      <c r="W58" s="1"/>
      <c r="X58" s="69"/>
      <c r="Y58" s="69"/>
      <c r="Z58" s="69"/>
      <c r="AA58" s="69"/>
      <c r="AB58" s="69"/>
    </row>
    <row r="59" spans="1:28" ht="15.75" customHeight="1" x14ac:dyDescent="0.3">
      <c r="A59" s="1"/>
      <c r="B59" s="1"/>
      <c r="C59" s="1"/>
      <c r="D59" s="1"/>
      <c r="E59" s="1"/>
      <c r="F59" s="1"/>
      <c r="G59" s="1"/>
      <c r="H59" s="1"/>
      <c r="I59" s="1"/>
      <c r="J59" s="1"/>
      <c r="K59" s="1"/>
      <c r="L59" s="1"/>
      <c r="M59" s="1"/>
      <c r="N59" s="1"/>
      <c r="O59" s="1"/>
      <c r="P59" s="1"/>
      <c r="Q59" s="1"/>
      <c r="R59" s="1"/>
      <c r="S59" s="1"/>
      <c r="T59" s="1"/>
      <c r="U59" s="1"/>
      <c r="V59" s="1"/>
      <c r="W59" s="1"/>
      <c r="X59" s="69"/>
      <c r="Y59" s="69"/>
      <c r="Z59" s="69"/>
      <c r="AA59" s="69"/>
      <c r="AB59" s="69"/>
    </row>
    <row r="60" spans="1:28" ht="15.75" customHeight="1" x14ac:dyDescent="0.3">
      <c r="A60" s="1"/>
      <c r="B60" s="1"/>
      <c r="C60" s="1"/>
      <c r="D60" s="1"/>
      <c r="E60" s="1"/>
      <c r="F60" s="1"/>
      <c r="G60" s="1"/>
      <c r="H60" s="1"/>
      <c r="I60" s="1"/>
      <c r="J60" s="1"/>
      <c r="K60" s="1"/>
      <c r="L60" s="1"/>
      <c r="M60" s="1"/>
      <c r="N60" s="1"/>
      <c r="O60" s="1"/>
      <c r="P60" s="1"/>
      <c r="Q60" s="1"/>
      <c r="R60" s="1"/>
      <c r="S60" s="1"/>
      <c r="T60" s="1"/>
      <c r="U60" s="1"/>
      <c r="V60" s="1"/>
      <c r="W60" s="1"/>
      <c r="X60" s="69"/>
      <c r="Y60" s="69"/>
      <c r="Z60" s="69"/>
      <c r="AA60" s="69"/>
      <c r="AB60" s="69"/>
    </row>
    <row r="61" spans="1:28" ht="15.75" customHeight="1" x14ac:dyDescent="0.3">
      <c r="A61" s="1"/>
      <c r="B61" s="1"/>
      <c r="C61" s="1"/>
      <c r="D61" s="1"/>
      <c r="E61" s="1"/>
      <c r="F61" s="1"/>
      <c r="G61" s="1"/>
      <c r="H61" s="1"/>
      <c r="I61" s="1"/>
      <c r="J61" s="1"/>
      <c r="K61" s="1"/>
      <c r="L61" s="1"/>
      <c r="M61" s="1"/>
      <c r="N61" s="1"/>
      <c r="O61" s="1"/>
      <c r="P61" s="1"/>
      <c r="Q61" s="1"/>
      <c r="R61" s="1"/>
      <c r="S61" s="1"/>
      <c r="T61" s="1"/>
      <c r="U61" s="1"/>
      <c r="V61" s="1"/>
      <c r="W61" s="1"/>
      <c r="X61" s="69"/>
      <c r="Y61" s="69"/>
      <c r="Z61" s="69"/>
      <c r="AA61" s="69"/>
      <c r="AB61" s="69"/>
    </row>
    <row r="62" spans="1:28" ht="15.75" customHeight="1" x14ac:dyDescent="0.3">
      <c r="A62" s="1"/>
      <c r="B62" s="1"/>
      <c r="C62" s="1"/>
      <c r="D62" s="1"/>
      <c r="E62" s="1"/>
      <c r="F62" s="1"/>
      <c r="G62" s="1"/>
      <c r="H62" s="1"/>
      <c r="I62" s="1"/>
      <c r="J62" s="1"/>
      <c r="K62" s="1"/>
      <c r="L62" s="1"/>
      <c r="M62" s="1"/>
      <c r="N62" s="1"/>
      <c r="O62" s="1"/>
      <c r="P62" s="1"/>
      <c r="Q62" s="1"/>
      <c r="R62" s="1"/>
      <c r="S62" s="1"/>
      <c r="T62" s="1"/>
      <c r="U62" s="1"/>
      <c r="V62" s="1"/>
      <c r="W62" s="1"/>
      <c r="X62" s="69"/>
      <c r="Y62" s="69"/>
      <c r="Z62" s="69"/>
      <c r="AA62" s="69"/>
      <c r="AB62" s="69"/>
    </row>
    <row r="63" spans="1:28" ht="15.75" customHeight="1" x14ac:dyDescent="0.3">
      <c r="A63" s="1"/>
      <c r="B63" s="1"/>
      <c r="C63" s="1"/>
      <c r="D63" s="1"/>
      <c r="E63" s="1"/>
      <c r="F63" s="1"/>
      <c r="G63" s="1"/>
      <c r="H63" s="1"/>
      <c r="I63" s="1"/>
      <c r="J63" s="1"/>
      <c r="K63" s="1"/>
      <c r="L63" s="1"/>
      <c r="M63" s="1"/>
      <c r="N63" s="1"/>
      <c r="O63" s="1"/>
      <c r="P63" s="1"/>
      <c r="Q63" s="1"/>
      <c r="R63" s="1"/>
      <c r="S63" s="1"/>
      <c r="T63" s="1"/>
      <c r="U63" s="1"/>
      <c r="V63" s="1"/>
      <c r="W63" s="1"/>
      <c r="X63" s="69"/>
      <c r="Y63" s="69"/>
      <c r="Z63" s="69"/>
      <c r="AA63" s="69"/>
      <c r="AB63" s="69"/>
    </row>
    <row r="64" spans="1:28" ht="15.75" customHeight="1" x14ac:dyDescent="0.3">
      <c r="A64" s="1"/>
      <c r="B64" s="1"/>
      <c r="C64" s="1"/>
      <c r="D64" s="1"/>
      <c r="E64" s="1"/>
      <c r="F64" s="1"/>
      <c r="G64" s="1"/>
      <c r="H64" s="1"/>
      <c r="I64" s="1"/>
      <c r="J64" s="1"/>
      <c r="K64" s="1"/>
      <c r="L64" s="1"/>
      <c r="M64" s="1"/>
      <c r="N64" s="1"/>
      <c r="O64" s="1"/>
      <c r="P64" s="1"/>
      <c r="Q64" s="1"/>
      <c r="R64" s="1"/>
      <c r="S64" s="1"/>
      <c r="T64" s="1"/>
      <c r="U64" s="1"/>
      <c r="V64" s="1"/>
      <c r="W64" s="1"/>
      <c r="X64" s="69"/>
      <c r="Y64" s="69"/>
      <c r="Z64" s="69"/>
      <c r="AA64" s="69"/>
      <c r="AB64" s="69"/>
    </row>
    <row r="65" spans="1:28" ht="15.75" customHeight="1" x14ac:dyDescent="0.3">
      <c r="A65" s="1"/>
      <c r="B65" s="1"/>
      <c r="C65" s="1"/>
      <c r="D65" s="1"/>
      <c r="E65" s="1"/>
      <c r="F65" s="1"/>
      <c r="G65" s="1"/>
      <c r="H65" s="1"/>
      <c r="I65" s="1"/>
      <c r="J65" s="1"/>
      <c r="K65" s="1"/>
      <c r="L65" s="1"/>
      <c r="M65" s="1"/>
      <c r="N65" s="1"/>
      <c r="O65" s="1"/>
      <c r="P65" s="1"/>
      <c r="Q65" s="1"/>
      <c r="R65" s="1"/>
      <c r="S65" s="1"/>
      <c r="T65" s="1"/>
      <c r="U65" s="1"/>
      <c r="V65" s="1"/>
      <c r="W65" s="1"/>
      <c r="X65" s="69"/>
      <c r="Y65" s="69"/>
      <c r="Z65" s="69"/>
      <c r="AA65" s="69"/>
      <c r="AB65" s="69"/>
    </row>
    <row r="66" spans="1:28" ht="15.75" customHeight="1" x14ac:dyDescent="0.3">
      <c r="A66" s="1"/>
      <c r="B66" s="1"/>
      <c r="C66" s="1"/>
      <c r="D66" s="1"/>
      <c r="E66" s="1"/>
      <c r="F66" s="1"/>
      <c r="G66" s="1"/>
      <c r="H66" s="1"/>
      <c r="I66" s="1"/>
      <c r="J66" s="1"/>
      <c r="K66" s="1"/>
      <c r="L66" s="1"/>
      <c r="M66" s="1"/>
      <c r="N66" s="1"/>
      <c r="O66" s="1"/>
      <c r="P66" s="1"/>
      <c r="Q66" s="1"/>
      <c r="R66" s="1"/>
      <c r="S66" s="1"/>
      <c r="T66" s="1"/>
      <c r="U66" s="1"/>
      <c r="V66" s="1"/>
      <c r="W66" s="1"/>
      <c r="X66" s="69"/>
      <c r="Y66" s="69"/>
      <c r="Z66" s="69"/>
      <c r="AA66" s="69"/>
      <c r="AB66" s="69"/>
    </row>
    <row r="67" spans="1:28" ht="15.75" customHeight="1" x14ac:dyDescent="0.3">
      <c r="A67" s="1"/>
      <c r="B67" s="1"/>
      <c r="C67" s="1"/>
      <c r="D67" s="1"/>
      <c r="E67" s="1"/>
      <c r="F67" s="1"/>
      <c r="G67" s="1"/>
      <c r="H67" s="1"/>
      <c r="I67" s="1"/>
      <c r="J67" s="1"/>
      <c r="K67" s="1"/>
      <c r="L67" s="1"/>
      <c r="M67" s="1"/>
      <c r="N67" s="1"/>
      <c r="O67" s="1"/>
      <c r="P67" s="1"/>
      <c r="Q67" s="1"/>
      <c r="R67" s="1"/>
      <c r="S67" s="1"/>
      <c r="T67" s="1"/>
      <c r="U67" s="1"/>
      <c r="V67" s="1"/>
      <c r="W67" s="1"/>
      <c r="X67" s="69"/>
      <c r="Y67" s="69"/>
      <c r="Z67" s="69"/>
      <c r="AA67" s="69"/>
      <c r="AB67" s="69"/>
    </row>
    <row r="68" spans="1:28" ht="15.75" customHeight="1" x14ac:dyDescent="0.3">
      <c r="A68" s="1"/>
      <c r="B68" s="1"/>
      <c r="C68" s="1"/>
      <c r="D68" s="1"/>
      <c r="E68" s="1"/>
      <c r="F68" s="1"/>
      <c r="G68" s="1"/>
      <c r="H68" s="1"/>
      <c r="I68" s="1"/>
      <c r="J68" s="1"/>
      <c r="K68" s="1"/>
      <c r="L68" s="1"/>
      <c r="M68" s="1"/>
      <c r="N68" s="1"/>
      <c r="O68" s="1"/>
      <c r="P68" s="1"/>
      <c r="Q68" s="1"/>
      <c r="R68" s="1"/>
      <c r="S68" s="1"/>
      <c r="T68" s="1"/>
      <c r="U68" s="1"/>
      <c r="V68" s="1"/>
      <c r="W68" s="1"/>
      <c r="X68" s="69"/>
      <c r="Y68" s="69"/>
      <c r="Z68" s="69"/>
      <c r="AA68" s="69"/>
      <c r="AB68" s="69"/>
    </row>
    <row r="69" spans="1:28" ht="15.75" customHeight="1" x14ac:dyDescent="0.3">
      <c r="A69" s="1"/>
      <c r="B69" s="1"/>
      <c r="C69" s="1"/>
      <c r="D69" s="1"/>
      <c r="E69" s="1"/>
      <c r="F69" s="1"/>
      <c r="G69" s="1"/>
      <c r="H69" s="1"/>
      <c r="I69" s="1"/>
      <c r="J69" s="1"/>
      <c r="K69" s="1"/>
      <c r="L69" s="1"/>
      <c r="M69" s="1"/>
      <c r="N69" s="1"/>
      <c r="O69" s="1"/>
      <c r="P69" s="1"/>
      <c r="Q69" s="1"/>
      <c r="R69" s="1"/>
      <c r="S69" s="1"/>
      <c r="T69" s="1"/>
      <c r="U69" s="1"/>
      <c r="V69" s="1"/>
      <c r="W69" s="1"/>
      <c r="X69" s="69"/>
      <c r="Y69" s="69"/>
      <c r="Z69" s="69"/>
      <c r="AA69" s="69"/>
      <c r="AB69" s="69"/>
    </row>
    <row r="70" spans="1:28" ht="15.75" customHeight="1" x14ac:dyDescent="0.3">
      <c r="A70" s="1"/>
      <c r="B70" s="1"/>
      <c r="C70" s="1"/>
      <c r="D70" s="1"/>
      <c r="E70" s="1"/>
      <c r="F70" s="1"/>
      <c r="G70" s="1"/>
      <c r="H70" s="1"/>
      <c r="I70" s="1"/>
      <c r="J70" s="1"/>
      <c r="K70" s="1"/>
      <c r="L70" s="1"/>
      <c r="M70" s="1"/>
      <c r="N70" s="1"/>
      <c r="O70" s="1"/>
      <c r="P70" s="1"/>
      <c r="Q70" s="1"/>
      <c r="R70" s="1"/>
      <c r="S70" s="1"/>
      <c r="T70" s="1"/>
      <c r="U70" s="1"/>
      <c r="V70" s="1"/>
      <c r="W70" s="1"/>
      <c r="X70" s="69"/>
      <c r="Y70" s="69"/>
      <c r="Z70" s="69"/>
      <c r="AA70" s="69"/>
      <c r="AB70" s="69"/>
    </row>
    <row r="71" spans="1:28" ht="15.75" customHeight="1" x14ac:dyDescent="0.3">
      <c r="A71" s="1"/>
      <c r="B71" s="1"/>
      <c r="C71" s="1"/>
      <c r="D71" s="1"/>
      <c r="E71" s="1"/>
      <c r="F71" s="1"/>
      <c r="G71" s="1"/>
      <c r="H71" s="1"/>
      <c r="I71" s="1"/>
      <c r="J71" s="1"/>
      <c r="K71" s="1"/>
      <c r="L71" s="1"/>
      <c r="M71" s="1"/>
      <c r="N71" s="1"/>
      <c r="O71" s="1"/>
      <c r="P71" s="1"/>
      <c r="Q71" s="1"/>
      <c r="R71" s="1"/>
      <c r="S71" s="1"/>
      <c r="T71" s="1"/>
      <c r="U71" s="1"/>
      <c r="V71" s="1"/>
      <c r="W71" s="1"/>
      <c r="X71" s="69"/>
      <c r="Y71" s="69"/>
      <c r="Z71" s="69"/>
      <c r="AA71" s="69"/>
      <c r="AB71" s="69"/>
    </row>
    <row r="72" spans="1:28" ht="15.75" customHeight="1" x14ac:dyDescent="0.3">
      <c r="A72" s="1"/>
      <c r="B72" s="1"/>
      <c r="C72" s="1"/>
      <c r="D72" s="1"/>
      <c r="E72" s="1"/>
      <c r="F72" s="1"/>
      <c r="G72" s="1"/>
      <c r="H72" s="1"/>
      <c r="I72" s="1"/>
      <c r="J72" s="1"/>
      <c r="K72" s="1"/>
      <c r="L72" s="1"/>
      <c r="M72" s="1"/>
      <c r="N72" s="1"/>
      <c r="O72" s="1"/>
      <c r="P72" s="1"/>
      <c r="Q72" s="1"/>
      <c r="R72" s="1"/>
      <c r="S72" s="1"/>
      <c r="T72" s="1"/>
      <c r="U72" s="1"/>
      <c r="V72" s="1"/>
      <c r="W72" s="1"/>
      <c r="X72" s="69"/>
      <c r="Y72" s="69"/>
      <c r="Z72" s="69"/>
      <c r="AA72" s="69"/>
      <c r="AB72" s="69"/>
    </row>
    <row r="73" spans="1:28" ht="15.75" customHeight="1" x14ac:dyDescent="0.3">
      <c r="A73" s="1"/>
      <c r="B73" s="1"/>
      <c r="C73" s="1"/>
      <c r="D73" s="1"/>
      <c r="E73" s="1"/>
      <c r="F73" s="1"/>
      <c r="G73" s="1"/>
      <c r="H73" s="1"/>
      <c r="I73" s="1"/>
      <c r="J73" s="1"/>
      <c r="K73" s="1"/>
      <c r="L73" s="1"/>
      <c r="M73" s="1"/>
      <c r="N73" s="1"/>
      <c r="O73" s="1"/>
      <c r="P73" s="1"/>
      <c r="Q73" s="1"/>
      <c r="R73" s="1"/>
      <c r="S73" s="1"/>
      <c r="T73" s="1"/>
      <c r="U73" s="1"/>
      <c r="V73" s="1"/>
      <c r="W73" s="1"/>
      <c r="X73" s="69"/>
      <c r="Y73" s="69"/>
      <c r="Z73" s="69"/>
      <c r="AA73" s="69"/>
      <c r="AB73" s="69"/>
    </row>
    <row r="74" spans="1:28" ht="15.75" customHeight="1" x14ac:dyDescent="0.3">
      <c r="A74" s="1"/>
      <c r="B74" s="1"/>
      <c r="C74" s="1"/>
      <c r="D74" s="1"/>
      <c r="E74" s="1"/>
      <c r="F74" s="1"/>
      <c r="G74" s="1"/>
      <c r="H74" s="1"/>
      <c r="I74" s="1"/>
      <c r="J74" s="1"/>
      <c r="K74" s="1"/>
      <c r="L74" s="1"/>
      <c r="M74" s="1"/>
      <c r="N74" s="1"/>
      <c r="O74" s="1"/>
      <c r="P74" s="1"/>
      <c r="Q74" s="1"/>
      <c r="R74" s="1"/>
      <c r="S74" s="1"/>
      <c r="T74" s="1"/>
      <c r="U74" s="1"/>
      <c r="V74" s="1"/>
      <c r="W74" s="1"/>
      <c r="X74" s="69"/>
      <c r="Y74" s="69"/>
      <c r="Z74" s="69"/>
      <c r="AA74" s="69"/>
      <c r="AB74" s="69"/>
    </row>
    <row r="75" spans="1:28" ht="15.75" customHeight="1" x14ac:dyDescent="0.3">
      <c r="A75" s="1"/>
      <c r="B75" s="1"/>
      <c r="C75" s="1"/>
      <c r="D75" s="1"/>
      <c r="E75" s="1"/>
      <c r="F75" s="1"/>
      <c r="G75" s="1"/>
      <c r="H75" s="1"/>
      <c r="I75" s="1"/>
      <c r="J75" s="1"/>
      <c r="K75" s="1"/>
      <c r="L75" s="1"/>
      <c r="M75" s="1"/>
      <c r="N75" s="1"/>
      <c r="O75" s="1"/>
      <c r="P75" s="1"/>
      <c r="Q75" s="1"/>
      <c r="R75" s="1"/>
      <c r="S75" s="1"/>
      <c r="T75" s="1"/>
      <c r="U75" s="1"/>
      <c r="V75" s="1"/>
      <c r="W75" s="1"/>
      <c r="X75" s="69"/>
      <c r="Y75" s="69"/>
      <c r="Z75" s="69"/>
      <c r="AA75" s="69"/>
      <c r="AB75" s="69"/>
    </row>
    <row r="76" spans="1:28" ht="15.75" customHeight="1" x14ac:dyDescent="0.3">
      <c r="A76" s="1"/>
      <c r="B76" s="1"/>
      <c r="C76" s="1"/>
      <c r="D76" s="1"/>
      <c r="E76" s="1"/>
      <c r="F76" s="1"/>
      <c r="G76" s="1"/>
      <c r="H76" s="1"/>
      <c r="I76" s="1"/>
      <c r="J76" s="1"/>
      <c r="K76" s="1"/>
      <c r="L76" s="1"/>
      <c r="M76" s="1"/>
      <c r="N76" s="1"/>
      <c r="O76" s="1"/>
      <c r="P76" s="1"/>
      <c r="Q76" s="1"/>
      <c r="R76" s="1"/>
      <c r="S76" s="1"/>
      <c r="T76" s="1"/>
      <c r="U76" s="1"/>
      <c r="V76" s="1"/>
      <c r="W76" s="1"/>
      <c r="X76" s="69"/>
      <c r="Y76" s="69"/>
      <c r="Z76" s="69"/>
      <c r="AA76" s="69"/>
      <c r="AB76" s="69"/>
    </row>
    <row r="77" spans="1:28" ht="15.75" customHeight="1" x14ac:dyDescent="0.3">
      <c r="A77" s="1"/>
      <c r="B77" s="1"/>
      <c r="C77" s="1"/>
      <c r="D77" s="1"/>
      <c r="E77" s="1"/>
      <c r="F77" s="1"/>
      <c r="G77" s="1"/>
      <c r="H77" s="1"/>
      <c r="I77" s="1"/>
      <c r="J77" s="1"/>
      <c r="K77" s="1"/>
      <c r="L77" s="1"/>
      <c r="M77" s="1"/>
      <c r="N77" s="1"/>
      <c r="O77" s="1"/>
      <c r="P77" s="1"/>
      <c r="Q77" s="1"/>
      <c r="R77" s="1"/>
      <c r="S77" s="1"/>
      <c r="T77" s="1"/>
      <c r="U77" s="1"/>
      <c r="V77" s="1"/>
      <c r="W77" s="1"/>
      <c r="X77" s="69"/>
      <c r="Y77" s="69"/>
      <c r="Z77" s="69"/>
      <c r="AA77" s="69"/>
      <c r="AB77" s="69"/>
    </row>
    <row r="78" spans="1:28" ht="15.75" customHeight="1" x14ac:dyDescent="0.3">
      <c r="A78" s="1"/>
      <c r="B78" s="1"/>
      <c r="C78" s="1"/>
      <c r="D78" s="1"/>
      <c r="E78" s="1"/>
      <c r="F78" s="1"/>
      <c r="G78" s="1"/>
      <c r="H78" s="1"/>
      <c r="I78" s="1"/>
      <c r="J78" s="1"/>
      <c r="K78" s="1"/>
      <c r="L78" s="1"/>
      <c r="M78" s="1"/>
      <c r="N78" s="1"/>
      <c r="O78" s="1"/>
      <c r="P78" s="1"/>
      <c r="Q78" s="1"/>
      <c r="R78" s="1"/>
      <c r="S78" s="1"/>
      <c r="T78" s="1"/>
      <c r="U78" s="1"/>
      <c r="V78" s="1"/>
      <c r="W78" s="1"/>
      <c r="X78" s="69"/>
      <c r="Y78" s="69"/>
      <c r="Z78" s="69"/>
      <c r="AA78" s="69"/>
      <c r="AB78" s="69"/>
    </row>
    <row r="79" spans="1:28" ht="15.75" customHeight="1" x14ac:dyDescent="0.3">
      <c r="A79" s="1"/>
      <c r="B79" s="1"/>
      <c r="C79" s="1"/>
      <c r="D79" s="1"/>
      <c r="E79" s="1"/>
      <c r="F79" s="1"/>
      <c r="G79" s="1"/>
      <c r="H79" s="1"/>
      <c r="I79" s="1"/>
      <c r="J79" s="1"/>
      <c r="K79" s="1"/>
      <c r="L79" s="1"/>
      <c r="M79" s="1"/>
      <c r="N79" s="1"/>
      <c r="O79" s="1"/>
      <c r="P79" s="1"/>
      <c r="Q79" s="1"/>
      <c r="R79" s="1"/>
      <c r="S79" s="1"/>
      <c r="T79" s="1"/>
      <c r="U79" s="1"/>
      <c r="V79" s="1"/>
      <c r="W79" s="1"/>
      <c r="X79" s="69"/>
      <c r="Y79" s="69"/>
      <c r="Z79" s="69"/>
      <c r="AA79" s="69"/>
      <c r="AB79" s="69"/>
    </row>
    <row r="80" spans="1:28" ht="15.75" customHeight="1" x14ac:dyDescent="0.3">
      <c r="A80" s="1"/>
      <c r="B80" s="1"/>
      <c r="C80" s="1"/>
      <c r="D80" s="1"/>
      <c r="E80" s="1"/>
      <c r="F80" s="1"/>
      <c r="G80" s="1"/>
      <c r="H80" s="1"/>
      <c r="I80" s="1"/>
      <c r="J80" s="1"/>
      <c r="K80" s="1"/>
      <c r="L80" s="1"/>
      <c r="M80" s="1"/>
      <c r="N80" s="1"/>
      <c r="O80" s="1"/>
      <c r="P80" s="1"/>
      <c r="Q80" s="1"/>
      <c r="R80" s="1"/>
      <c r="S80" s="1"/>
      <c r="T80" s="1"/>
      <c r="U80" s="1"/>
      <c r="V80" s="1"/>
      <c r="W80" s="1"/>
      <c r="X80" s="69"/>
      <c r="Y80" s="69"/>
      <c r="Z80" s="69"/>
      <c r="AA80" s="69"/>
      <c r="AB80" s="69"/>
    </row>
    <row r="81" spans="1:28" ht="15.75" customHeight="1" x14ac:dyDescent="0.3">
      <c r="A81" s="1"/>
      <c r="B81" s="1"/>
      <c r="C81" s="1"/>
      <c r="D81" s="1"/>
      <c r="E81" s="1"/>
      <c r="F81" s="1"/>
      <c r="G81" s="1"/>
      <c r="H81" s="1"/>
      <c r="I81" s="1"/>
      <c r="J81" s="1"/>
      <c r="K81" s="1"/>
      <c r="L81" s="1"/>
      <c r="M81" s="1"/>
      <c r="N81" s="1"/>
      <c r="O81" s="1"/>
      <c r="P81" s="1"/>
      <c r="Q81" s="1"/>
      <c r="R81" s="1"/>
      <c r="S81" s="1"/>
      <c r="T81" s="1"/>
      <c r="U81" s="1"/>
      <c r="V81" s="1"/>
      <c r="W81" s="1"/>
      <c r="X81" s="69"/>
      <c r="Y81" s="69"/>
      <c r="Z81" s="69"/>
      <c r="AA81" s="69"/>
      <c r="AB81" s="69"/>
    </row>
    <row r="82" spans="1:28" ht="15.75" customHeight="1" x14ac:dyDescent="0.3">
      <c r="A82" s="1"/>
      <c r="B82" s="1"/>
      <c r="C82" s="1"/>
      <c r="D82" s="1"/>
      <c r="E82" s="1"/>
      <c r="F82" s="1"/>
      <c r="G82" s="1"/>
      <c r="H82" s="1"/>
      <c r="I82" s="1"/>
      <c r="J82" s="1"/>
      <c r="K82" s="1"/>
      <c r="L82" s="1"/>
      <c r="M82" s="1"/>
      <c r="N82" s="1"/>
      <c r="O82" s="1"/>
      <c r="P82" s="1"/>
      <c r="Q82" s="1"/>
      <c r="R82" s="1"/>
      <c r="S82" s="1"/>
      <c r="T82" s="1"/>
      <c r="U82" s="1"/>
      <c r="V82" s="1"/>
      <c r="W82" s="1"/>
      <c r="X82" s="69"/>
      <c r="Y82" s="69"/>
      <c r="Z82" s="69"/>
      <c r="AA82" s="69"/>
      <c r="AB82" s="69"/>
    </row>
    <row r="83" spans="1:28" ht="15.75" customHeight="1" x14ac:dyDescent="0.3">
      <c r="A83" s="1"/>
      <c r="B83" s="1"/>
      <c r="C83" s="1"/>
      <c r="D83" s="1"/>
      <c r="E83" s="1"/>
      <c r="F83" s="1"/>
      <c r="G83" s="1"/>
      <c r="H83" s="1"/>
      <c r="I83" s="1"/>
      <c r="J83" s="1"/>
      <c r="K83" s="1"/>
      <c r="L83" s="1"/>
      <c r="M83" s="1"/>
      <c r="N83" s="1"/>
      <c r="O83" s="1"/>
      <c r="P83" s="1"/>
      <c r="Q83" s="1"/>
      <c r="R83" s="1"/>
      <c r="S83" s="1"/>
      <c r="T83" s="1"/>
      <c r="U83" s="1"/>
      <c r="V83" s="1"/>
      <c r="W83" s="1"/>
      <c r="X83" s="69"/>
      <c r="Y83" s="69"/>
      <c r="Z83" s="69"/>
      <c r="AA83" s="69"/>
      <c r="AB83" s="69"/>
    </row>
    <row r="84" spans="1:28" ht="15.75" customHeight="1" x14ac:dyDescent="0.3">
      <c r="A84" s="1"/>
      <c r="B84" s="1"/>
      <c r="C84" s="1"/>
      <c r="D84" s="1"/>
      <c r="E84" s="1"/>
      <c r="F84" s="1"/>
      <c r="G84" s="1"/>
      <c r="H84" s="1"/>
      <c r="I84" s="1"/>
      <c r="J84" s="1"/>
      <c r="K84" s="1"/>
      <c r="L84" s="1"/>
      <c r="M84" s="1"/>
      <c r="N84" s="1"/>
      <c r="O84" s="1"/>
      <c r="P84" s="1"/>
      <c r="Q84" s="1"/>
      <c r="R84" s="1"/>
      <c r="S84" s="1"/>
      <c r="T84" s="1"/>
      <c r="U84" s="1"/>
      <c r="V84" s="1"/>
      <c r="W84" s="1"/>
      <c r="X84" s="69"/>
      <c r="Y84" s="69"/>
      <c r="Z84" s="69"/>
      <c r="AA84" s="69"/>
      <c r="AB84" s="69"/>
    </row>
    <row r="85" spans="1:28" ht="15.75" customHeight="1" x14ac:dyDescent="0.3">
      <c r="A85" s="1"/>
      <c r="B85" s="1"/>
      <c r="C85" s="1"/>
      <c r="D85" s="1"/>
      <c r="E85" s="1"/>
      <c r="F85" s="1"/>
      <c r="G85" s="1"/>
      <c r="H85" s="1"/>
      <c r="I85" s="1"/>
      <c r="J85" s="1"/>
      <c r="K85" s="1"/>
      <c r="L85" s="1"/>
      <c r="M85" s="1"/>
      <c r="N85" s="1"/>
      <c r="O85" s="1"/>
      <c r="P85" s="1"/>
      <c r="Q85" s="1"/>
      <c r="R85" s="1"/>
      <c r="S85" s="1"/>
      <c r="T85" s="1"/>
      <c r="U85" s="1"/>
      <c r="V85" s="1"/>
      <c r="W85" s="1"/>
      <c r="X85" s="69"/>
      <c r="Y85" s="69"/>
      <c r="Z85" s="69"/>
      <c r="AA85" s="69"/>
      <c r="AB85" s="69"/>
    </row>
    <row r="86" spans="1:28" ht="15.75" customHeight="1" x14ac:dyDescent="0.3">
      <c r="A86" s="1"/>
      <c r="B86" s="1"/>
      <c r="C86" s="1"/>
      <c r="D86" s="1"/>
      <c r="E86" s="1"/>
      <c r="F86" s="1"/>
      <c r="G86" s="1"/>
      <c r="H86" s="1"/>
      <c r="I86" s="1"/>
      <c r="J86" s="1"/>
      <c r="K86" s="1"/>
      <c r="L86" s="1"/>
      <c r="M86" s="1"/>
      <c r="N86" s="1"/>
      <c r="O86" s="1"/>
      <c r="P86" s="1"/>
      <c r="Q86" s="1"/>
      <c r="R86" s="1"/>
      <c r="S86" s="1"/>
      <c r="T86" s="1"/>
      <c r="U86" s="1"/>
      <c r="V86" s="1"/>
      <c r="W86" s="1"/>
      <c r="X86" s="69"/>
      <c r="Y86" s="69"/>
      <c r="Z86" s="69"/>
      <c r="AA86" s="69"/>
      <c r="AB86" s="69"/>
    </row>
    <row r="87" spans="1:28" ht="15.75" customHeight="1" x14ac:dyDescent="0.3">
      <c r="A87" s="1"/>
      <c r="B87" s="1"/>
      <c r="C87" s="1"/>
      <c r="D87" s="1"/>
      <c r="E87" s="1"/>
      <c r="F87" s="1"/>
      <c r="G87" s="1"/>
      <c r="H87" s="1"/>
      <c r="I87" s="1"/>
      <c r="J87" s="1"/>
      <c r="K87" s="1"/>
      <c r="L87" s="1"/>
      <c r="M87" s="1"/>
      <c r="N87" s="1"/>
      <c r="O87" s="1"/>
      <c r="P87" s="1"/>
      <c r="Q87" s="1"/>
      <c r="R87" s="1"/>
      <c r="S87" s="1"/>
      <c r="T87" s="1"/>
      <c r="U87" s="1"/>
      <c r="V87" s="1"/>
      <c r="W87" s="1"/>
      <c r="X87" s="69"/>
      <c r="Y87" s="69"/>
      <c r="Z87" s="69"/>
      <c r="AA87" s="69"/>
      <c r="AB87" s="69"/>
    </row>
    <row r="88" spans="1:28" ht="15.75" customHeight="1" x14ac:dyDescent="0.3">
      <c r="A88" s="1"/>
      <c r="B88" s="1"/>
      <c r="C88" s="1"/>
      <c r="D88" s="1"/>
      <c r="E88" s="1"/>
      <c r="F88" s="1"/>
      <c r="G88" s="1"/>
      <c r="H88" s="1"/>
      <c r="I88" s="1"/>
      <c r="J88" s="1"/>
      <c r="K88" s="1"/>
      <c r="L88" s="1"/>
      <c r="M88" s="1"/>
      <c r="N88" s="1"/>
      <c r="O88" s="1"/>
      <c r="P88" s="1"/>
      <c r="Q88" s="1"/>
      <c r="R88" s="1"/>
      <c r="S88" s="1"/>
      <c r="T88" s="1"/>
      <c r="U88" s="1"/>
      <c r="V88" s="1"/>
      <c r="W88" s="1"/>
      <c r="X88" s="69"/>
      <c r="Y88" s="69"/>
      <c r="Z88" s="69"/>
      <c r="AA88" s="69"/>
      <c r="AB88" s="69"/>
    </row>
    <row r="89" spans="1:28" ht="15.75" customHeight="1" x14ac:dyDescent="0.3">
      <c r="A89" s="1"/>
      <c r="B89" s="1"/>
      <c r="C89" s="1"/>
      <c r="D89" s="1"/>
      <c r="E89" s="1"/>
      <c r="F89" s="1"/>
      <c r="G89" s="1"/>
      <c r="H89" s="1"/>
      <c r="I89" s="1"/>
      <c r="J89" s="1"/>
      <c r="K89" s="1"/>
      <c r="L89" s="1"/>
      <c r="M89" s="1"/>
      <c r="N89" s="1"/>
      <c r="O89" s="1"/>
      <c r="P89" s="1"/>
      <c r="Q89" s="1"/>
      <c r="R89" s="1"/>
      <c r="S89" s="1"/>
      <c r="T89" s="1"/>
      <c r="U89" s="1"/>
      <c r="V89" s="1"/>
      <c r="W89" s="1"/>
      <c r="X89" s="69"/>
      <c r="Y89" s="69"/>
      <c r="Z89" s="69"/>
      <c r="AA89" s="69"/>
      <c r="AB89" s="69"/>
    </row>
    <row r="90" spans="1:28" ht="15.75" customHeight="1" x14ac:dyDescent="0.3">
      <c r="A90" s="1"/>
      <c r="B90" s="1"/>
      <c r="C90" s="1"/>
      <c r="D90" s="1"/>
      <c r="E90" s="1"/>
      <c r="F90" s="1"/>
      <c r="G90" s="1"/>
      <c r="H90" s="1"/>
      <c r="I90" s="1"/>
      <c r="J90" s="1"/>
      <c r="K90" s="1"/>
      <c r="L90" s="1"/>
      <c r="M90" s="1"/>
      <c r="N90" s="1"/>
      <c r="O90" s="1"/>
      <c r="P90" s="1"/>
      <c r="Q90" s="1"/>
      <c r="R90" s="1"/>
      <c r="S90" s="1"/>
      <c r="T90" s="1"/>
      <c r="U90" s="1"/>
      <c r="V90" s="1"/>
      <c r="W90" s="1"/>
      <c r="X90" s="69"/>
      <c r="Y90" s="69"/>
      <c r="Z90" s="69"/>
      <c r="AA90" s="69"/>
      <c r="AB90" s="69"/>
    </row>
    <row r="91" spans="1:28" ht="15.75" customHeight="1" x14ac:dyDescent="0.3">
      <c r="A91" s="1"/>
      <c r="B91" s="1"/>
      <c r="C91" s="1"/>
      <c r="D91" s="1"/>
      <c r="E91" s="1"/>
      <c r="F91" s="1"/>
      <c r="G91" s="1"/>
      <c r="H91" s="1"/>
      <c r="I91" s="1"/>
      <c r="J91" s="1"/>
      <c r="K91" s="1"/>
      <c r="L91" s="1"/>
      <c r="M91" s="1"/>
      <c r="N91" s="1"/>
      <c r="O91" s="1"/>
      <c r="P91" s="1"/>
      <c r="Q91" s="1"/>
      <c r="R91" s="1"/>
      <c r="S91" s="1"/>
      <c r="T91" s="1"/>
      <c r="U91" s="1"/>
      <c r="V91" s="1"/>
      <c r="W91" s="1"/>
      <c r="X91" s="69"/>
      <c r="Y91" s="69"/>
      <c r="Z91" s="69"/>
      <c r="AA91" s="69"/>
      <c r="AB91" s="69"/>
    </row>
    <row r="92" spans="1:28" ht="15.75" customHeight="1" x14ac:dyDescent="0.3">
      <c r="A92" s="1"/>
      <c r="B92" s="1"/>
      <c r="C92" s="1"/>
      <c r="D92" s="1"/>
      <c r="E92" s="1"/>
      <c r="F92" s="1"/>
      <c r="G92" s="1"/>
      <c r="H92" s="1"/>
      <c r="I92" s="1"/>
      <c r="J92" s="1"/>
      <c r="K92" s="1"/>
      <c r="L92" s="1"/>
      <c r="M92" s="1"/>
      <c r="N92" s="1"/>
      <c r="O92" s="1"/>
      <c r="P92" s="1"/>
      <c r="Q92" s="1"/>
      <c r="R92" s="1"/>
      <c r="S92" s="1"/>
      <c r="T92" s="1"/>
      <c r="U92" s="1"/>
      <c r="V92" s="1"/>
      <c r="W92" s="1"/>
      <c r="X92" s="69"/>
      <c r="Y92" s="69"/>
      <c r="Z92" s="69"/>
      <c r="AA92" s="69"/>
      <c r="AB92" s="69"/>
    </row>
    <row r="93" spans="1:28" ht="15.75" customHeight="1" x14ac:dyDescent="0.3">
      <c r="A93" s="1"/>
      <c r="B93" s="1"/>
      <c r="C93" s="1"/>
      <c r="D93" s="1"/>
      <c r="E93" s="1"/>
      <c r="F93" s="1"/>
      <c r="G93" s="1"/>
      <c r="H93" s="1"/>
      <c r="I93" s="1"/>
      <c r="J93" s="1"/>
      <c r="K93" s="1"/>
      <c r="L93" s="1"/>
      <c r="M93" s="1"/>
      <c r="N93" s="1"/>
      <c r="O93" s="1"/>
      <c r="P93" s="1"/>
      <c r="Q93" s="1"/>
      <c r="R93" s="1"/>
      <c r="S93" s="1"/>
      <c r="T93" s="1"/>
      <c r="U93" s="1"/>
      <c r="V93" s="1"/>
      <c r="W93" s="1"/>
      <c r="X93" s="69"/>
      <c r="Y93" s="69"/>
      <c r="Z93" s="69"/>
      <c r="AA93" s="69"/>
      <c r="AB93" s="69"/>
    </row>
    <row r="94" spans="1:28" ht="15.75" customHeight="1" x14ac:dyDescent="0.3">
      <c r="A94" s="1"/>
      <c r="B94" s="1"/>
      <c r="C94" s="1"/>
      <c r="D94" s="1"/>
      <c r="E94" s="1"/>
      <c r="F94" s="1"/>
      <c r="G94" s="1"/>
      <c r="H94" s="1"/>
      <c r="I94" s="1"/>
      <c r="J94" s="1"/>
      <c r="K94" s="1"/>
      <c r="L94" s="1"/>
      <c r="M94" s="1"/>
      <c r="N94" s="1"/>
      <c r="O94" s="1"/>
      <c r="P94" s="1"/>
      <c r="Q94" s="1"/>
      <c r="R94" s="1"/>
      <c r="S94" s="1"/>
      <c r="T94" s="1"/>
      <c r="U94" s="1"/>
      <c r="V94" s="1"/>
      <c r="W94" s="1"/>
      <c r="X94" s="69"/>
      <c r="Y94" s="69"/>
      <c r="Z94" s="69"/>
      <c r="AA94" s="69"/>
      <c r="AB94" s="69"/>
    </row>
    <row r="95" spans="1:28" ht="15.75" customHeight="1" x14ac:dyDescent="0.3">
      <c r="A95" s="1"/>
      <c r="B95" s="1"/>
      <c r="C95" s="1"/>
      <c r="D95" s="1"/>
      <c r="E95" s="1"/>
      <c r="F95" s="1"/>
      <c r="G95" s="1"/>
      <c r="H95" s="1"/>
      <c r="I95" s="1"/>
      <c r="J95" s="1"/>
      <c r="K95" s="1"/>
      <c r="L95" s="1"/>
      <c r="M95" s="1"/>
      <c r="N95" s="1"/>
      <c r="O95" s="1"/>
      <c r="P95" s="1"/>
      <c r="Q95" s="1"/>
      <c r="R95" s="1"/>
      <c r="S95" s="1"/>
      <c r="T95" s="1"/>
      <c r="U95" s="1"/>
      <c r="V95" s="1"/>
      <c r="W95" s="1"/>
      <c r="X95" s="69"/>
      <c r="Y95" s="69"/>
      <c r="Z95" s="69"/>
      <c r="AA95" s="69"/>
      <c r="AB95" s="69"/>
    </row>
    <row r="96" spans="1:28" ht="15.75" customHeight="1" x14ac:dyDescent="0.3">
      <c r="A96" s="1"/>
      <c r="B96" s="1"/>
      <c r="C96" s="1"/>
      <c r="D96" s="1"/>
      <c r="E96" s="1"/>
      <c r="F96" s="1"/>
      <c r="G96" s="1"/>
      <c r="H96" s="1"/>
      <c r="I96" s="1"/>
      <c r="J96" s="1"/>
      <c r="K96" s="1"/>
      <c r="L96" s="1"/>
      <c r="M96" s="1"/>
      <c r="N96" s="1"/>
      <c r="O96" s="1"/>
      <c r="P96" s="1"/>
      <c r="Q96" s="1"/>
      <c r="R96" s="1"/>
      <c r="S96" s="1"/>
      <c r="T96" s="1"/>
      <c r="U96" s="1"/>
      <c r="V96" s="1"/>
      <c r="W96" s="1"/>
      <c r="X96" s="69"/>
      <c r="Y96" s="69"/>
      <c r="Z96" s="69"/>
      <c r="AA96" s="69"/>
      <c r="AB96" s="69"/>
    </row>
    <row r="97" spans="1:28" ht="15.75" customHeight="1" x14ac:dyDescent="0.3">
      <c r="A97" s="1"/>
      <c r="B97" s="1"/>
      <c r="C97" s="1"/>
      <c r="D97" s="1"/>
      <c r="E97" s="1"/>
      <c r="F97" s="1"/>
      <c r="G97" s="1"/>
      <c r="H97" s="1"/>
      <c r="I97" s="1"/>
      <c r="J97" s="1"/>
      <c r="K97" s="1"/>
      <c r="L97" s="1"/>
      <c r="M97" s="1"/>
      <c r="N97" s="1"/>
      <c r="O97" s="1"/>
      <c r="P97" s="1"/>
      <c r="Q97" s="1"/>
      <c r="R97" s="1"/>
      <c r="S97" s="1"/>
      <c r="T97" s="1"/>
      <c r="U97" s="1"/>
      <c r="V97" s="1"/>
      <c r="W97" s="1"/>
      <c r="X97" s="69"/>
      <c r="Y97" s="69"/>
      <c r="Z97" s="69"/>
      <c r="AA97" s="69"/>
      <c r="AB97" s="69"/>
    </row>
    <row r="98" spans="1:28" ht="15.75" customHeight="1" x14ac:dyDescent="0.3">
      <c r="A98" s="1"/>
      <c r="B98" s="1"/>
      <c r="C98" s="1"/>
      <c r="D98" s="1"/>
      <c r="E98" s="1"/>
      <c r="F98" s="1"/>
      <c r="G98" s="1"/>
      <c r="H98" s="1"/>
      <c r="I98" s="1"/>
      <c r="J98" s="1"/>
      <c r="K98" s="1"/>
      <c r="L98" s="1"/>
      <c r="M98" s="1"/>
      <c r="N98" s="1"/>
      <c r="O98" s="1"/>
      <c r="P98" s="1"/>
      <c r="Q98" s="1"/>
      <c r="R98" s="1"/>
      <c r="S98" s="1"/>
      <c r="T98" s="1"/>
      <c r="U98" s="1"/>
      <c r="V98" s="1"/>
      <c r="W98" s="1"/>
      <c r="X98" s="69"/>
      <c r="Y98" s="69"/>
      <c r="Z98" s="69"/>
      <c r="AA98" s="69"/>
      <c r="AB98" s="69"/>
    </row>
    <row r="99" spans="1:28" ht="15.75" customHeight="1" x14ac:dyDescent="0.3">
      <c r="A99" s="1"/>
      <c r="B99" s="1"/>
      <c r="C99" s="1"/>
      <c r="D99" s="1"/>
      <c r="E99" s="1"/>
      <c r="F99" s="1"/>
      <c r="G99" s="1"/>
      <c r="H99" s="1"/>
      <c r="I99" s="1"/>
      <c r="J99" s="1"/>
      <c r="K99" s="1"/>
      <c r="L99" s="1"/>
      <c r="M99" s="1"/>
      <c r="N99" s="1"/>
      <c r="O99" s="1"/>
      <c r="P99" s="1"/>
      <c r="Q99" s="1"/>
      <c r="R99" s="1"/>
      <c r="S99" s="1"/>
      <c r="T99" s="1"/>
      <c r="U99" s="1"/>
      <c r="V99" s="1"/>
      <c r="W99" s="1"/>
      <c r="X99" s="69"/>
      <c r="Y99" s="69"/>
      <c r="Z99" s="69"/>
      <c r="AA99" s="69"/>
      <c r="AB99" s="69"/>
    </row>
    <row r="100" spans="1:28"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69"/>
      <c r="Y100" s="69"/>
      <c r="Z100" s="69"/>
      <c r="AA100" s="69"/>
      <c r="AB100" s="69"/>
    </row>
    <row r="101" spans="1:28"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69"/>
      <c r="Y101" s="69"/>
      <c r="Z101" s="69"/>
      <c r="AA101" s="69"/>
      <c r="AB101" s="69"/>
    </row>
    <row r="102" spans="1:28"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69"/>
      <c r="Y102" s="69"/>
      <c r="Z102" s="69"/>
      <c r="AA102" s="69"/>
      <c r="AB102" s="69"/>
    </row>
    <row r="103" spans="1:28"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69"/>
      <c r="Y103" s="69"/>
      <c r="Z103" s="69"/>
      <c r="AA103" s="69"/>
      <c r="AB103" s="69"/>
    </row>
    <row r="104" spans="1:28"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69"/>
      <c r="Y104" s="69"/>
      <c r="Z104" s="69"/>
      <c r="AA104" s="69"/>
      <c r="AB104" s="69"/>
    </row>
    <row r="105" spans="1:28"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69"/>
      <c r="Y105" s="69"/>
      <c r="Z105" s="69"/>
      <c r="AA105" s="69"/>
      <c r="AB105" s="69"/>
    </row>
    <row r="106" spans="1:28"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69"/>
      <c r="Y106" s="69"/>
      <c r="Z106" s="69"/>
      <c r="AA106" s="69"/>
      <c r="AB106" s="69"/>
    </row>
    <row r="107" spans="1:28"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69"/>
      <c r="Y107" s="69"/>
      <c r="Z107" s="69"/>
      <c r="AA107" s="69"/>
      <c r="AB107" s="69"/>
    </row>
    <row r="108" spans="1:28"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69"/>
      <c r="Y108" s="69"/>
      <c r="Z108" s="69"/>
      <c r="AA108" s="69"/>
      <c r="AB108" s="69"/>
    </row>
    <row r="109" spans="1:28"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69"/>
      <c r="Y109" s="69"/>
      <c r="Z109" s="69"/>
      <c r="AA109" s="69"/>
      <c r="AB109" s="69"/>
    </row>
    <row r="110" spans="1:28"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69"/>
      <c r="Y110" s="69"/>
      <c r="Z110" s="69"/>
      <c r="AA110" s="69"/>
      <c r="AB110" s="69"/>
    </row>
    <row r="111" spans="1:28"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69"/>
      <c r="Y111" s="69"/>
      <c r="Z111" s="69"/>
      <c r="AA111" s="69"/>
      <c r="AB111" s="69"/>
    </row>
    <row r="112" spans="1:28"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69"/>
      <c r="Y112" s="69"/>
      <c r="Z112" s="69"/>
      <c r="AA112" s="69"/>
      <c r="AB112" s="69"/>
    </row>
    <row r="113" spans="1:28"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69"/>
      <c r="Y113" s="69"/>
      <c r="Z113" s="69"/>
      <c r="AA113" s="69"/>
      <c r="AB113" s="69"/>
    </row>
    <row r="114" spans="1:28"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69"/>
      <c r="Y114" s="69"/>
      <c r="Z114" s="69"/>
      <c r="AA114" s="69"/>
      <c r="AB114" s="69"/>
    </row>
    <row r="115" spans="1:28"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69"/>
      <c r="Y115" s="69"/>
      <c r="Z115" s="69"/>
      <c r="AA115" s="69"/>
      <c r="AB115" s="69"/>
    </row>
    <row r="116" spans="1:28"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69"/>
      <c r="Y116" s="69"/>
      <c r="Z116" s="69"/>
      <c r="AA116" s="69"/>
      <c r="AB116" s="69"/>
    </row>
    <row r="117" spans="1:28"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69"/>
      <c r="Y117" s="69"/>
      <c r="Z117" s="69"/>
      <c r="AA117" s="69"/>
      <c r="AB117" s="69"/>
    </row>
    <row r="118" spans="1:28"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69"/>
      <c r="Y118" s="69"/>
      <c r="Z118" s="69"/>
      <c r="AA118" s="69"/>
      <c r="AB118" s="69"/>
    </row>
    <row r="119" spans="1:28"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69"/>
      <c r="Y119" s="69"/>
      <c r="Z119" s="69"/>
      <c r="AA119" s="69"/>
      <c r="AB119" s="69"/>
    </row>
    <row r="120" spans="1:28"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69"/>
      <c r="Y120" s="69"/>
      <c r="Z120" s="69"/>
      <c r="AA120" s="69"/>
      <c r="AB120" s="69"/>
    </row>
    <row r="121" spans="1:28"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69"/>
      <c r="Y121" s="69"/>
      <c r="Z121" s="69"/>
      <c r="AA121" s="69"/>
      <c r="AB121" s="69"/>
    </row>
    <row r="122" spans="1:28"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69"/>
      <c r="Y122" s="69"/>
      <c r="Z122" s="69"/>
      <c r="AA122" s="69"/>
      <c r="AB122" s="69"/>
    </row>
    <row r="123" spans="1:28"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69"/>
      <c r="Y123" s="69"/>
      <c r="Z123" s="69"/>
      <c r="AA123" s="69"/>
      <c r="AB123" s="69"/>
    </row>
    <row r="124" spans="1:28"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69"/>
      <c r="Y124" s="69"/>
      <c r="Z124" s="69"/>
      <c r="AA124" s="69"/>
      <c r="AB124" s="69"/>
    </row>
    <row r="125" spans="1:28"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69"/>
      <c r="Y125" s="69"/>
      <c r="Z125" s="69"/>
      <c r="AA125" s="69"/>
      <c r="AB125" s="69"/>
    </row>
    <row r="126" spans="1:28"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69"/>
      <c r="Y126" s="69"/>
      <c r="Z126" s="69"/>
      <c r="AA126" s="69"/>
      <c r="AB126" s="69"/>
    </row>
    <row r="127" spans="1:28"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69"/>
      <c r="Y127" s="69"/>
      <c r="Z127" s="69"/>
      <c r="AA127" s="69"/>
      <c r="AB127" s="69"/>
    </row>
    <row r="128" spans="1:28"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69"/>
      <c r="Y128" s="69"/>
      <c r="Z128" s="69"/>
      <c r="AA128" s="69"/>
      <c r="AB128" s="69"/>
    </row>
    <row r="129" spans="1:28"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69"/>
      <c r="Y129" s="69"/>
      <c r="Z129" s="69"/>
      <c r="AA129" s="69"/>
      <c r="AB129" s="69"/>
    </row>
    <row r="130" spans="1:28"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69"/>
      <c r="Y130" s="69"/>
      <c r="Z130" s="69"/>
      <c r="AA130" s="69"/>
      <c r="AB130" s="69"/>
    </row>
    <row r="131" spans="1:28"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69"/>
      <c r="Y131" s="69"/>
      <c r="Z131" s="69"/>
      <c r="AA131" s="69"/>
      <c r="AB131" s="69"/>
    </row>
    <row r="132" spans="1:28"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69"/>
      <c r="Y132" s="69"/>
      <c r="Z132" s="69"/>
      <c r="AA132" s="69"/>
      <c r="AB132" s="69"/>
    </row>
    <row r="133" spans="1:28"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69"/>
      <c r="Y133" s="69"/>
      <c r="Z133" s="69"/>
      <c r="AA133" s="69"/>
      <c r="AB133" s="69"/>
    </row>
    <row r="134" spans="1:28"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69"/>
      <c r="Y134" s="69"/>
      <c r="Z134" s="69"/>
      <c r="AA134" s="69"/>
      <c r="AB134" s="69"/>
    </row>
    <row r="135" spans="1:28"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69"/>
      <c r="Y135" s="69"/>
      <c r="Z135" s="69"/>
      <c r="AA135" s="69"/>
      <c r="AB135" s="69"/>
    </row>
    <row r="136" spans="1:28"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69"/>
      <c r="Y136" s="69"/>
      <c r="Z136" s="69"/>
      <c r="AA136" s="69"/>
      <c r="AB136" s="69"/>
    </row>
    <row r="137" spans="1:28"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69"/>
      <c r="Y137" s="69"/>
      <c r="Z137" s="69"/>
      <c r="AA137" s="69"/>
      <c r="AB137" s="69"/>
    </row>
    <row r="138" spans="1:28"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69"/>
      <c r="Y138" s="69"/>
      <c r="Z138" s="69"/>
      <c r="AA138" s="69"/>
      <c r="AB138" s="69"/>
    </row>
    <row r="139" spans="1:28"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69"/>
      <c r="Y139" s="69"/>
      <c r="Z139" s="69"/>
      <c r="AA139" s="69"/>
      <c r="AB139" s="69"/>
    </row>
    <row r="140" spans="1:28"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69"/>
      <c r="Y140" s="69"/>
      <c r="Z140" s="69"/>
      <c r="AA140" s="69"/>
      <c r="AB140" s="69"/>
    </row>
    <row r="141" spans="1:28"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69"/>
      <c r="Y141" s="69"/>
      <c r="Z141" s="69"/>
      <c r="AA141" s="69"/>
      <c r="AB141" s="69"/>
    </row>
    <row r="142" spans="1:28"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69"/>
      <c r="Y142" s="69"/>
      <c r="Z142" s="69"/>
      <c r="AA142" s="69"/>
      <c r="AB142" s="69"/>
    </row>
    <row r="143" spans="1:28"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69"/>
      <c r="Y143" s="69"/>
      <c r="Z143" s="69"/>
      <c r="AA143" s="69"/>
      <c r="AB143" s="69"/>
    </row>
    <row r="144" spans="1:28"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69"/>
      <c r="Y144" s="69"/>
      <c r="Z144" s="69"/>
      <c r="AA144" s="69"/>
      <c r="AB144" s="69"/>
    </row>
    <row r="145" spans="1:28"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69"/>
      <c r="Y145" s="69"/>
      <c r="Z145" s="69"/>
      <c r="AA145" s="69"/>
      <c r="AB145" s="69"/>
    </row>
    <row r="146" spans="1:28"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69"/>
      <c r="Y146" s="69"/>
      <c r="Z146" s="69"/>
      <c r="AA146" s="69"/>
      <c r="AB146" s="69"/>
    </row>
    <row r="147" spans="1:28"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69"/>
      <c r="Y147" s="69"/>
      <c r="Z147" s="69"/>
      <c r="AA147" s="69"/>
      <c r="AB147" s="69"/>
    </row>
    <row r="148" spans="1:28"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69"/>
      <c r="Y148" s="69"/>
      <c r="Z148" s="69"/>
      <c r="AA148" s="69"/>
      <c r="AB148" s="69"/>
    </row>
    <row r="149" spans="1:28"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69"/>
      <c r="Y149" s="69"/>
      <c r="Z149" s="69"/>
      <c r="AA149" s="69"/>
      <c r="AB149" s="69"/>
    </row>
    <row r="150" spans="1:28"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69"/>
      <c r="Y150" s="69"/>
      <c r="Z150" s="69"/>
      <c r="AA150" s="69"/>
      <c r="AB150" s="69"/>
    </row>
    <row r="151" spans="1:28"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69"/>
      <c r="Y151" s="69"/>
      <c r="Z151" s="69"/>
      <c r="AA151" s="69"/>
      <c r="AB151" s="69"/>
    </row>
    <row r="152" spans="1:28"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69"/>
      <c r="Y152" s="69"/>
      <c r="Z152" s="69"/>
      <c r="AA152" s="69"/>
      <c r="AB152" s="69"/>
    </row>
    <row r="153" spans="1:28"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69"/>
      <c r="Y153" s="69"/>
      <c r="Z153" s="69"/>
      <c r="AA153" s="69"/>
      <c r="AB153" s="69"/>
    </row>
    <row r="154" spans="1:28"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69"/>
      <c r="Y154" s="69"/>
      <c r="Z154" s="69"/>
      <c r="AA154" s="69"/>
      <c r="AB154" s="69"/>
    </row>
    <row r="155" spans="1:28"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69"/>
      <c r="Y155" s="69"/>
      <c r="Z155" s="69"/>
      <c r="AA155" s="69"/>
      <c r="AB155" s="69"/>
    </row>
    <row r="156" spans="1:28"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69"/>
      <c r="Y156" s="69"/>
      <c r="Z156" s="69"/>
      <c r="AA156" s="69"/>
      <c r="AB156" s="69"/>
    </row>
    <row r="157" spans="1:28"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69"/>
      <c r="Y157" s="69"/>
      <c r="Z157" s="69"/>
      <c r="AA157" s="69"/>
      <c r="AB157" s="69"/>
    </row>
    <row r="158" spans="1:28"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69"/>
      <c r="Y158" s="69"/>
      <c r="Z158" s="69"/>
      <c r="AA158" s="69"/>
      <c r="AB158" s="69"/>
    </row>
    <row r="159" spans="1:28"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69"/>
      <c r="Y159" s="69"/>
      <c r="Z159" s="69"/>
      <c r="AA159" s="69"/>
      <c r="AB159" s="69"/>
    </row>
    <row r="160" spans="1:28"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69"/>
      <c r="Y160" s="69"/>
      <c r="Z160" s="69"/>
      <c r="AA160" s="69"/>
      <c r="AB160" s="69"/>
    </row>
    <row r="161" spans="1:28"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69"/>
      <c r="Y161" s="69"/>
      <c r="Z161" s="69"/>
      <c r="AA161" s="69"/>
      <c r="AB161" s="69"/>
    </row>
    <row r="162" spans="1:28"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69"/>
      <c r="Y162" s="69"/>
      <c r="Z162" s="69"/>
      <c r="AA162" s="69"/>
      <c r="AB162" s="69"/>
    </row>
    <row r="163" spans="1:28"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69"/>
      <c r="Y163" s="69"/>
      <c r="Z163" s="69"/>
      <c r="AA163" s="69"/>
      <c r="AB163" s="69"/>
    </row>
    <row r="164" spans="1:28"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69"/>
      <c r="Y164" s="69"/>
      <c r="Z164" s="69"/>
      <c r="AA164" s="69"/>
      <c r="AB164" s="69"/>
    </row>
    <row r="165" spans="1:28"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69"/>
      <c r="Y165" s="69"/>
      <c r="Z165" s="69"/>
      <c r="AA165" s="69"/>
      <c r="AB165" s="69"/>
    </row>
    <row r="166" spans="1:28"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69"/>
      <c r="Y166" s="69"/>
      <c r="Z166" s="69"/>
      <c r="AA166" s="69"/>
      <c r="AB166" s="69"/>
    </row>
    <row r="167" spans="1:28"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69"/>
      <c r="Y167" s="69"/>
      <c r="Z167" s="69"/>
      <c r="AA167" s="69"/>
      <c r="AB167" s="69"/>
    </row>
    <row r="168" spans="1:28"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69"/>
      <c r="Y168" s="69"/>
      <c r="Z168" s="69"/>
      <c r="AA168" s="69"/>
      <c r="AB168" s="69"/>
    </row>
    <row r="169" spans="1:28"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69"/>
      <c r="Y169" s="69"/>
      <c r="Z169" s="69"/>
      <c r="AA169" s="69"/>
      <c r="AB169" s="69"/>
    </row>
    <row r="170" spans="1:28"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69"/>
      <c r="Y170" s="69"/>
      <c r="Z170" s="69"/>
      <c r="AA170" s="69"/>
      <c r="AB170" s="69"/>
    </row>
    <row r="171" spans="1:28"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69"/>
      <c r="Y171" s="69"/>
      <c r="Z171" s="69"/>
      <c r="AA171" s="69"/>
      <c r="AB171" s="69"/>
    </row>
    <row r="172" spans="1:28"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69"/>
      <c r="Y172" s="69"/>
      <c r="Z172" s="69"/>
      <c r="AA172" s="69"/>
      <c r="AB172" s="69"/>
    </row>
    <row r="173" spans="1:28"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69"/>
      <c r="Y173" s="69"/>
      <c r="Z173" s="69"/>
      <c r="AA173" s="69"/>
      <c r="AB173" s="69"/>
    </row>
    <row r="174" spans="1:28"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69"/>
      <c r="Y174" s="69"/>
      <c r="Z174" s="69"/>
      <c r="AA174" s="69"/>
      <c r="AB174" s="69"/>
    </row>
    <row r="175" spans="1:28"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69"/>
      <c r="Y175" s="69"/>
      <c r="Z175" s="69"/>
      <c r="AA175" s="69"/>
      <c r="AB175" s="69"/>
    </row>
    <row r="176" spans="1:28"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69"/>
      <c r="Y176" s="69"/>
      <c r="Z176" s="69"/>
      <c r="AA176" s="69"/>
      <c r="AB176" s="69"/>
    </row>
    <row r="177" spans="1:28"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69"/>
      <c r="Y177" s="69"/>
      <c r="Z177" s="69"/>
      <c r="AA177" s="69"/>
      <c r="AB177" s="69"/>
    </row>
    <row r="178" spans="1:28"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69"/>
      <c r="Y178" s="69"/>
      <c r="Z178" s="69"/>
      <c r="AA178" s="69"/>
      <c r="AB178" s="69"/>
    </row>
    <row r="179" spans="1:28"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69"/>
      <c r="Y179" s="69"/>
      <c r="Z179" s="69"/>
      <c r="AA179" s="69"/>
      <c r="AB179" s="69"/>
    </row>
    <row r="180" spans="1:28"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69"/>
      <c r="Y180" s="69"/>
      <c r="Z180" s="69"/>
      <c r="AA180" s="69"/>
      <c r="AB180" s="69"/>
    </row>
    <row r="181" spans="1:28"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69"/>
      <c r="Y181" s="69"/>
      <c r="Z181" s="69"/>
      <c r="AA181" s="69"/>
      <c r="AB181" s="69"/>
    </row>
    <row r="182" spans="1:28"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69"/>
      <c r="Y182" s="69"/>
      <c r="Z182" s="69"/>
      <c r="AA182" s="69"/>
      <c r="AB182" s="69"/>
    </row>
    <row r="183" spans="1:28"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69"/>
      <c r="Y183" s="69"/>
      <c r="Z183" s="69"/>
      <c r="AA183" s="69"/>
      <c r="AB183" s="69"/>
    </row>
    <row r="184" spans="1:28"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69"/>
      <c r="Y184" s="69"/>
      <c r="Z184" s="69"/>
      <c r="AA184" s="69"/>
      <c r="AB184" s="69"/>
    </row>
    <row r="185" spans="1:28"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69"/>
      <c r="Y185" s="69"/>
      <c r="Z185" s="69"/>
      <c r="AA185" s="69"/>
      <c r="AB185" s="69"/>
    </row>
    <row r="186" spans="1:28"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69"/>
      <c r="Y186" s="69"/>
      <c r="Z186" s="69"/>
      <c r="AA186" s="69"/>
      <c r="AB186" s="69"/>
    </row>
    <row r="187" spans="1:28"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69"/>
      <c r="Y187" s="69"/>
      <c r="Z187" s="69"/>
      <c r="AA187" s="69"/>
      <c r="AB187" s="69"/>
    </row>
    <row r="188" spans="1:28"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69"/>
      <c r="Y188" s="69"/>
      <c r="Z188" s="69"/>
      <c r="AA188" s="69"/>
      <c r="AB188" s="69"/>
    </row>
    <row r="189" spans="1:28"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69"/>
      <c r="Y189" s="69"/>
      <c r="Z189" s="69"/>
      <c r="AA189" s="69"/>
      <c r="AB189" s="69"/>
    </row>
    <row r="190" spans="1:28"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69"/>
      <c r="Y190" s="69"/>
      <c r="Z190" s="69"/>
      <c r="AA190" s="69"/>
      <c r="AB190" s="69"/>
    </row>
    <row r="191" spans="1:28"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69"/>
      <c r="Y191" s="69"/>
      <c r="Z191" s="69"/>
      <c r="AA191" s="69"/>
      <c r="AB191" s="69"/>
    </row>
    <row r="192" spans="1:28"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69"/>
      <c r="Y192" s="69"/>
      <c r="Z192" s="69"/>
      <c r="AA192" s="69"/>
      <c r="AB192" s="69"/>
    </row>
    <row r="193" spans="1:28"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69"/>
      <c r="Y193" s="69"/>
      <c r="Z193" s="69"/>
      <c r="AA193" s="69"/>
      <c r="AB193" s="69"/>
    </row>
    <row r="194" spans="1:28"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69"/>
      <c r="Y194" s="69"/>
      <c r="Z194" s="69"/>
      <c r="AA194" s="69"/>
      <c r="AB194" s="69"/>
    </row>
    <row r="195" spans="1:28"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69"/>
      <c r="Y195" s="69"/>
      <c r="Z195" s="69"/>
      <c r="AA195" s="69"/>
      <c r="AB195" s="69"/>
    </row>
    <row r="196" spans="1:28"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69"/>
      <c r="Y196" s="69"/>
      <c r="Z196" s="69"/>
      <c r="AA196" s="69"/>
      <c r="AB196" s="69"/>
    </row>
    <row r="197" spans="1:28"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69"/>
      <c r="Y197" s="69"/>
      <c r="Z197" s="69"/>
      <c r="AA197" s="69"/>
      <c r="AB197" s="69"/>
    </row>
    <row r="198" spans="1:28"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69"/>
      <c r="Y198" s="69"/>
      <c r="Z198" s="69"/>
      <c r="AA198" s="69"/>
      <c r="AB198" s="69"/>
    </row>
    <row r="199" spans="1:28"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69"/>
      <c r="Y199" s="69"/>
      <c r="Z199" s="69"/>
      <c r="AA199" s="69"/>
      <c r="AB199" s="69"/>
    </row>
    <row r="200" spans="1:28"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69"/>
      <c r="Y200" s="69"/>
      <c r="Z200" s="69"/>
      <c r="AA200" s="69"/>
      <c r="AB200" s="69"/>
    </row>
    <row r="201" spans="1:28"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69"/>
      <c r="Y201" s="69"/>
      <c r="Z201" s="69"/>
      <c r="AA201" s="69"/>
      <c r="AB201" s="69"/>
    </row>
    <row r="202" spans="1:28"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69"/>
      <c r="Y202" s="69"/>
      <c r="Z202" s="69"/>
      <c r="AA202" s="69"/>
      <c r="AB202" s="69"/>
    </row>
    <row r="203" spans="1:28"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69"/>
      <c r="Y203" s="69"/>
      <c r="Z203" s="69"/>
      <c r="AA203" s="69"/>
      <c r="AB203" s="69"/>
    </row>
    <row r="204" spans="1:28"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69"/>
      <c r="Y204" s="69"/>
      <c r="Z204" s="69"/>
      <c r="AA204" s="69"/>
      <c r="AB204" s="69"/>
    </row>
    <row r="205" spans="1:28"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69"/>
      <c r="Y205" s="69"/>
      <c r="Z205" s="69"/>
      <c r="AA205" s="69"/>
      <c r="AB205" s="69"/>
    </row>
    <row r="206" spans="1:28"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69"/>
      <c r="Y206" s="69"/>
      <c r="Z206" s="69"/>
      <c r="AA206" s="69"/>
      <c r="AB206" s="69"/>
    </row>
    <row r="207" spans="1:28"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69"/>
      <c r="Y207" s="69"/>
      <c r="Z207" s="69"/>
      <c r="AA207" s="69"/>
      <c r="AB207" s="69"/>
    </row>
    <row r="208" spans="1:28"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69"/>
      <c r="Y208" s="69"/>
      <c r="Z208" s="69"/>
      <c r="AA208" s="69"/>
      <c r="AB208" s="69"/>
    </row>
    <row r="209" spans="1:28"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69"/>
      <c r="Y209" s="69"/>
      <c r="Z209" s="69"/>
      <c r="AA209" s="69"/>
      <c r="AB209" s="69"/>
    </row>
    <row r="210" spans="1:28"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69"/>
      <c r="Y210" s="69"/>
      <c r="Z210" s="69"/>
      <c r="AA210" s="69"/>
      <c r="AB210" s="69"/>
    </row>
    <row r="211" spans="1:28"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69"/>
      <c r="Y211" s="69"/>
      <c r="Z211" s="69"/>
      <c r="AA211" s="69"/>
      <c r="AB211" s="69"/>
    </row>
    <row r="212" spans="1:28"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69"/>
      <c r="Y212" s="69"/>
      <c r="Z212" s="69"/>
      <c r="AA212" s="69"/>
      <c r="AB212" s="69"/>
    </row>
    <row r="213" spans="1:28"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69"/>
      <c r="Y213" s="69"/>
      <c r="Z213" s="69"/>
      <c r="AA213" s="69"/>
      <c r="AB213" s="69"/>
    </row>
    <row r="214" spans="1:28"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69"/>
      <c r="Y214" s="69"/>
      <c r="Z214" s="69"/>
      <c r="AA214" s="69"/>
      <c r="AB214" s="69"/>
    </row>
    <row r="215" spans="1:28"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69"/>
      <c r="Y215" s="69"/>
      <c r="Z215" s="69"/>
      <c r="AA215" s="69"/>
      <c r="AB215" s="69"/>
    </row>
    <row r="216" spans="1:28"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69"/>
      <c r="Y216" s="69"/>
      <c r="Z216" s="69"/>
      <c r="AA216" s="69"/>
      <c r="AB216" s="69"/>
    </row>
    <row r="217" spans="1:28"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69"/>
      <c r="Y217" s="69"/>
      <c r="Z217" s="69"/>
      <c r="AA217" s="69"/>
      <c r="AB217" s="69"/>
    </row>
    <row r="218" spans="1:28"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69"/>
      <c r="Y218" s="69"/>
      <c r="Z218" s="69"/>
      <c r="AA218" s="69"/>
      <c r="AB218" s="69"/>
    </row>
    <row r="219" spans="1:28"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69"/>
      <c r="Y219" s="69"/>
      <c r="Z219" s="69"/>
      <c r="AA219" s="69"/>
      <c r="AB219" s="69"/>
    </row>
    <row r="220" spans="1:28"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69"/>
      <c r="Y220" s="69"/>
      <c r="Z220" s="69"/>
      <c r="AA220" s="69"/>
      <c r="AB220" s="69"/>
    </row>
    <row r="221" spans="1:28"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69"/>
      <c r="Y221" s="69"/>
      <c r="Z221" s="69"/>
      <c r="AA221" s="69"/>
      <c r="AB221" s="69"/>
    </row>
    <row r="222" spans="1:28"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69"/>
      <c r="Y222" s="69"/>
      <c r="Z222" s="69"/>
      <c r="AA222" s="69"/>
      <c r="AB222" s="69"/>
    </row>
    <row r="223" spans="1:28"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69"/>
      <c r="Y223" s="69"/>
      <c r="Z223" s="69"/>
      <c r="AA223" s="69"/>
      <c r="AB223" s="69"/>
    </row>
    <row r="224" spans="1:28"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69"/>
      <c r="Y224" s="69"/>
      <c r="Z224" s="69"/>
      <c r="AA224" s="69"/>
      <c r="AB224" s="69"/>
    </row>
    <row r="225" spans="1:28"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69"/>
      <c r="Y225" s="69"/>
      <c r="Z225" s="69"/>
      <c r="AA225" s="69"/>
      <c r="AB225" s="69"/>
    </row>
    <row r="226" spans="1:28"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69"/>
      <c r="Y226" s="69"/>
      <c r="Z226" s="69"/>
      <c r="AA226" s="69"/>
      <c r="AB226" s="69"/>
    </row>
    <row r="227" spans="1:28"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69"/>
      <c r="Y227" s="69"/>
      <c r="Z227" s="69"/>
      <c r="AA227" s="69"/>
      <c r="AB227" s="69"/>
    </row>
    <row r="228" spans="1:28"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69"/>
      <c r="Y228" s="69"/>
      <c r="Z228" s="69"/>
      <c r="AA228" s="69"/>
      <c r="AB228" s="69"/>
    </row>
    <row r="229" spans="1:28"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69"/>
      <c r="Y229" s="69"/>
      <c r="Z229" s="69"/>
      <c r="AA229" s="69"/>
      <c r="AB229" s="69"/>
    </row>
    <row r="230" spans="1:28"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69"/>
      <c r="Y230" s="69"/>
      <c r="Z230" s="69"/>
      <c r="AA230" s="69"/>
      <c r="AB230" s="69"/>
    </row>
    <row r="231" spans="1:28"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69"/>
      <c r="Y231" s="69"/>
      <c r="Z231" s="69"/>
      <c r="AA231" s="69"/>
      <c r="AB231" s="69"/>
    </row>
    <row r="232" spans="1:28"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69"/>
      <c r="Y232" s="69"/>
      <c r="Z232" s="69"/>
      <c r="AA232" s="69"/>
      <c r="AB232" s="69"/>
    </row>
    <row r="233" spans="1:28"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69"/>
      <c r="Y233" s="69"/>
      <c r="Z233" s="69"/>
      <c r="AA233" s="69"/>
      <c r="AB233" s="69"/>
    </row>
    <row r="234" spans="1:28"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69"/>
      <c r="Y234" s="69"/>
      <c r="Z234" s="69"/>
      <c r="AA234" s="69"/>
      <c r="AB234" s="69"/>
    </row>
    <row r="235" spans="1:28"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69"/>
      <c r="Y235" s="69"/>
      <c r="Z235" s="69"/>
      <c r="AA235" s="69"/>
      <c r="AB235" s="69"/>
    </row>
    <row r="236" spans="1:28"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69"/>
      <c r="Y236" s="69"/>
      <c r="Z236" s="69"/>
      <c r="AA236" s="69"/>
      <c r="AB236" s="69"/>
    </row>
    <row r="237" spans="1:28"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69"/>
      <c r="Y237" s="69"/>
      <c r="Z237" s="69"/>
      <c r="AA237" s="69"/>
      <c r="AB237" s="69"/>
    </row>
    <row r="238" spans="1:28"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69"/>
      <c r="Y238" s="69"/>
      <c r="Z238" s="69"/>
      <c r="AA238" s="69"/>
      <c r="AB238" s="69"/>
    </row>
    <row r="239" spans="1:28"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69"/>
      <c r="Y239" s="69"/>
      <c r="Z239" s="69"/>
      <c r="AA239" s="69"/>
      <c r="AB239" s="69"/>
    </row>
    <row r="240" spans="1:28"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69"/>
      <c r="Y240" s="69"/>
      <c r="Z240" s="69"/>
      <c r="AA240" s="69"/>
      <c r="AB240" s="69"/>
    </row>
    <row r="241" spans="1:28"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69"/>
      <c r="Y241" s="69"/>
      <c r="Z241" s="69"/>
      <c r="AA241" s="69"/>
      <c r="AB241" s="69"/>
    </row>
    <row r="242" spans="1:28"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69"/>
      <c r="Y242" s="69"/>
      <c r="Z242" s="69"/>
      <c r="AA242" s="69"/>
      <c r="AB242" s="69"/>
    </row>
    <row r="243" spans="1:28"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69"/>
      <c r="Y243" s="69"/>
      <c r="Z243" s="69"/>
      <c r="AA243" s="69"/>
      <c r="AB243" s="69"/>
    </row>
    <row r="244" spans="1:28"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69"/>
      <c r="Y244" s="69"/>
      <c r="Z244" s="69"/>
      <c r="AA244" s="69"/>
      <c r="AB244" s="69"/>
    </row>
    <row r="245" spans="1:28"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69"/>
      <c r="Y245" s="69"/>
      <c r="Z245" s="69"/>
      <c r="AA245" s="69"/>
      <c r="AB245" s="69"/>
    </row>
    <row r="246" spans="1:28"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69"/>
      <c r="Y246" s="69"/>
      <c r="Z246" s="69"/>
      <c r="AA246" s="69"/>
      <c r="AB246" s="69"/>
    </row>
    <row r="247" spans="1:28"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69"/>
      <c r="Y247" s="69"/>
      <c r="Z247" s="69"/>
      <c r="AA247" s="69"/>
      <c r="AB247" s="69"/>
    </row>
    <row r="248" spans="1:28"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69"/>
      <c r="Y248" s="69"/>
      <c r="Z248" s="69"/>
      <c r="AA248" s="69"/>
      <c r="AB248" s="69"/>
    </row>
    <row r="249" spans="1:28"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69"/>
      <c r="Y249" s="69"/>
      <c r="Z249" s="69"/>
      <c r="AA249" s="69"/>
      <c r="AB249" s="69"/>
    </row>
    <row r="250" spans="1:28"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69"/>
      <c r="Y250" s="69"/>
      <c r="Z250" s="69"/>
      <c r="AA250" s="69"/>
      <c r="AB250" s="69"/>
    </row>
    <row r="251" spans="1:28"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69"/>
      <c r="Y251" s="69"/>
      <c r="Z251" s="69"/>
      <c r="AA251" s="69"/>
      <c r="AB251" s="69"/>
    </row>
    <row r="252" spans="1:28"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69"/>
      <c r="Y252" s="69"/>
      <c r="Z252" s="69"/>
      <c r="AA252" s="69"/>
      <c r="AB252" s="69"/>
    </row>
    <row r="253" spans="1:28"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69"/>
      <c r="Y253" s="69"/>
      <c r="Z253" s="69"/>
      <c r="AA253" s="69"/>
      <c r="AB253" s="69"/>
    </row>
    <row r="254" spans="1:28"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69"/>
      <c r="Y254" s="69"/>
      <c r="Z254" s="69"/>
      <c r="AA254" s="69"/>
      <c r="AB254" s="69"/>
    </row>
    <row r="255" spans="1:28"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69"/>
      <c r="Y255" s="69"/>
      <c r="Z255" s="69"/>
      <c r="AA255" s="69"/>
      <c r="AB255" s="69"/>
    </row>
    <row r="256" spans="1:28"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69"/>
      <c r="Y256" s="69"/>
      <c r="Z256" s="69"/>
      <c r="AA256" s="69"/>
      <c r="AB256" s="69"/>
    </row>
    <row r="257" spans="1:28"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69"/>
      <c r="Y257" s="69"/>
      <c r="Z257" s="69"/>
      <c r="AA257" s="69"/>
      <c r="AB257" s="69"/>
    </row>
    <row r="258" spans="1:28"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69"/>
      <c r="Y258" s="69"/>
      <c r="Z258" s="69"/>
      <c r="AA258" s="69"/>
      <c r="AB258" s="69"/>
    </row>
    <row r="259" spans="1:28"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69"/>
      <c r="Y259" s="69"/>
      <c r="Z259" s="69"/>
      <c r="AA259" s="69"/>
      <c r="AB259" s="69"/>
    </row>
    <row r="260" spans="1:28"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69"/>
      <c r="Y260" s="69"/>
      <c r="Z260" s="69"/>
      <c r="AA260" s="69"/>
      <c r="AB260" s="69"/>
    </row>
    <row r="261" spans="1:28"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69"/>
      <c r="Y261" s="69"/>
      <c r="Z261" s="69"/>
      <c r="AA261" s="69"/>
      <c r="AB261" s="69"/>
    </row>
    <row r="262" spans="1:28"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69"/>
      <c r="Y262" s="69"/>
      <c r="Z262" s="69"/>
      <c r="AA262" s="69"/>
      <c r="AB262" s="69"/>
    </row>
    <row r="263" spans="1:28"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69"/>
      <c r="Y263" s="69"/>
      <c r="Z263" s="69"/>
      <c r="AA263" s="69"/>
      <c r="AB263" s="69"/>
    </row>
    <row r="264" spans="1:28"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69"/>
      <c r="Y264" s="69"/>
      <c r="Z264" s="69"/>
      <c r="AA264" s="69"/>
      <c r="AB264" s="69"/>
    </row>
    <row r="265" spans="1:28"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69"/>
      <c r="Y265" s="69"/>
      <c r="Z265" s="69"/>
      <c r="AA265" s="69"/>
      <c r="AB265" s="69"/>
    </row>
    <row r="266" spans="1:28"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69"/>
      <c r="Y266" s="69"/>
      <c r="Z266" s="69"/>
      <c r="AA266" s="69"/>
      <c r="AB266" s="69"/>
    </row>
    <row r="267" spans="1:28"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69"/>
      <c r="Y267" s="69"/>
      <c r="Z267" s="69"/>
      <c r="AA267" s="69"/>
      <c r="AB267" s="69"/>
    </row>
    <row r="268" spans="1:28"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69"/>
      <c r="Y268" s="69"/>
      <c r="Z268" s="69"/>
      <c r="AA268" s="69"/>
      <c r="AB268" s="69"/>
    </row>
    <row r="269" spans="1:28"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69"/>
      <c r="Y269" s="69"/>
      <c r="Z269" s="69"/>
      <c r="AA269" s="69"/>
      <c r="AB269" s="69"/>
    </row>
    <row r="270" spans="1:28"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69"/>
      <c r="Y270" s="69"/>
      <c r="Z270" s="69"/>
      <c r="AA270" s="69"/>
      <c r="AB270" s="69"/>
    </row>
    <row r="271" spans="1:28"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69"/>
      <c r="Y271" s="69"/>
      <c r="Z271" s="69"/>
      <c r="AA271" s="69"/>
      <c r="AB271" s="69"/>
    </row>
    <row r="272" spans="1:28"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69"/>
      <c r="Y272" s="69"/>
      <c r="Z272" s="69"/>
      <c r="AA272" s="69"/>
      <c r="AB272" s="69"/>
    </row>
    <row r="273" spans="1:28"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69"/>
      <c r="Y273" s="69"/>
      <c r="Z273" s="69"/>
      <c r="AA273" s="69"/>
      <c r="AB273" s="69"/>
    </row>
    <row r="274" spans="1:28"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69"/>
      <c r="Y274" s="69"/>
      <c r="Z274" s="69"/>
      <c r="AA274" s="69"/>
      <c r="AB274" s="69"/>
    </row>
    <row r="275" spans="1:28"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69"/>
      <c r="Y275" s="69"/>
      <c r="Z275" s="69"/>
      <c r="AA275" s="69"/>
      <c r="AB275" s="69"/>
    </row>
    <row r="276" spans="1:28"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69"/>
      <c r="Y276" s="69"/>
      <c r="Z276" s="69"/>
      <c r="AA276" s="69"/>
      <c r="AB276" s="69"/>
    </row>
    <row r="277" spans="1:28"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69"/>
      <c r="Y277" s="69"/>
      <c r="Z277" s="69"/>
      <c r="AA277" s="69"/>
      <c r="AB277" s="69"/>
    </row>
    <row r="278" spans="1:28"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69"/>
      <c r="Y278" s="69"/>
      <c r="Z278" s="69"/>
      <c r="AA278" s="69"/>
      <c r="AB278" s="69"/>
    </row>
    <row r="279" spans="1:28"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69"/>
      <c r="Y279" s="69"/>
      <c r="Z279" s="69"/>
      <c r="AA279" s="69"/>
      <c r="AB279" s="69"/>
    </row>
    <row r="280" spans="1:28"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69"/>
      <c r="Y280" s="69"/>
      <c r="Z280" s="69"/>
      <c r="AA280" s="69"/>
      <c r="AB280" s="69"/>
    </row>
    <row r="281" spans="1:28"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69"/>
      <c r="Y281" s="69"/>
      <c r="Z281" s="69"/>
      <c r="AA281" s="69"/>
      <c r="AB281" s="69"/>
    </row>
    <row r="282" spans="1:28"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69"/>
      <c r="Y282" s="69"/>
      <c r="Z282" s="69"/>
      <c r="AA282" s="69"/>
      <c r="AB282" s="69"/>
    </row>
    <row r="283" spans="1:28"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69"/>
      <c r="Y283" s="69"/>
      <c r="Z283" s="69"/>
      <c r="AA283" s="69"/>
      <c r="AB283" s="69"/>
    </row>
    <row r="284" spans="1:28"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69"/>
      <c r="Y284" s="69"/>
      <c r="Z284" s="69"/>
      <c r="AA284" s="69"/>
      <c r="AB284" s="69"/>
    </row>
    <row r="285" spans="1:28"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69"/>
      <c r="Y285" s="69"/>
      <c r="Z285" s="69"/>
      <c r="AA285" s="69"/>
      <c r="AB285" s="69"/>
    </row>
    <row r="286" spans="1:28"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69"/>
      <c r="Y286" s="69"/>
      <c r="Z286" s="69"/>
      <c r="AA286" s="69"/>
      <c r="AB286" s="69"/>
    </row>
    <row r="287" spans="1:28"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69"/>
      <c r="Y287" s="69"/>
      <c r="Z287" s="69"/>
      <c r="AA287" s="69"/>
      <c r="AB287" s="69"/>
    </row>
    <row r="288" spans="1:28"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69"/>
      <c r="Y288" s="69"/>
      <c r="Z288" s="69"/>
      <c r="AA288" s="69"/>
      <c r="AB288" s="69"/>
    </row>
    <row r="289" spans="1:28"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69"/>
      <c r="Y289" s="69"/>
      <c r="Z289" s="69"/>
      <c r="AA289" s="69"/>
      <c r="AB289" s="69"/>
    </row>
    <row r="290" spans="1:28"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69"/>
      <c r="Y290" s="69"/>
      <c r="Z290" s="69"/>
      <c r="AA290" s="69"/>
      <c r="AB290" s="69"/>
    </row>
    <row r="291" spans="1:28"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69"/>
      <c r="Y291" s="69"/>
      <c r="Z291" s="69"/>
      <c r="AA291" s="69"/>
      <c r="AB291" s="69"/>
    </row>
    <row r="292" spans="1:28"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69"/>
      <c r="Y292" s="69"/>
      <c r="Z292" s="69"/>
      <c r="AA292" s="69"/>
      <c r="AB292" s="69"/>
    </row>
    <row r="293" spans="1:28"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69"/>
      <c r="Y293" s="69"/>
      <c r="Z293" s="69"/>
      <c r="AA293" s="69"/>
      <c r="AB293" s="69"/>
    </row>
    <row r="294" spans="1:28"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69"/>
      <c r="Y294" s="69"/>
      <c r="Z294" s="69"/>
      <c r="AA294" s="69"/>
      <c r="AB294" s="69"/>
    </row>
    <row r="295" spans="1:28"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69"/>
      <c r="Y295" s="69"/>
      <c r="Z295" s="69"/>
      <c r="AA295" s="69"/>
      <c r="AB295" s="69"/>
    </row>
    <row r="296" spans="1:28"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69"/>
      <c r="Y296" s="69"/>
      <c r="Z296" s="69"/>
      <c r="AA296" s="69"/>
      <c r="AB296" s="69"/>
    </row>
    <row r="297" spans="1:28"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69"/>
      <c r="Y297" s="69"/>
      <c r="Z297" s="69"/>
      <c r="AA297" s="69"/>
      <c r="AB297" s="69"/>
    </row>
    <row r="298" spans="1:28"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69"/>
      <c r="Y298" s="69"/>
      <c r="Z298" s="69"/>
      <c r="AA298" s="69"/>
      <c r="AB298" s="69"/>
    </row>
    <row r="299" spans="1:28"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69"/>
      <c r="Y299" s="69"/>
      <c r="Z299" s="69"/>
      <c r="AA299" s="69"/>
      <c r="AB299" s="69"/>
    </row>
    <row r="300" spans="1:28"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69"/>
      <c r="Y300" s="69"/>
      <c r="Z300" s="69"/>
      <c r="AA300" s="69"/>
      <c r="AB300" s="69"/>
    </row>
    <row r="301" spans="1:28"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69"/>
      <c r="Y301" s="69"/>
      <c r="Z301" s="69"/>
      <c r="AA301" s="69"/>
      <c r="AB301" s="69"/>
    </row>
    <row r="302" spans="1:28"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69"/>
      <c r="Y302" s="69"/>
      <c r="Z302" s="69"/>
      <c r="AA302" s="69"/>
      <c r="AB302" s="69"/>
    </row>
    <row r="303" spans="1:28"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69"/>
      <c r="Y303" s="69"/>
      <c r="Z303" s="69"/>
      <c r="AA303" s="69"/>
      <c r="AB303" s="69"/>
    </row>
    <row r="304" spans="1:28"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69"/>
      <c r="Y304" s="69"/>
      <c r="Z304" s="69"/>
      <c r="AA304" s="69"/>
      <c r="AB304" s="69"/>
    </row>
    <row r="305" spans="1:28"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69"/>
      <c r="Y305" s="69"/>
      <c r="Z305" s="69"/>
      <c r="AA305" s="69"/>
      <c r="AB305" s="69"/>
    </row>
    <row r="306" spans="1:28"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69"/>
      <c r="Y306" s="69"/>
      <c r="Z306" s="69"/>
      <c r="AA306" s="69"/>
      <c r="AB306" s="69"/>
    </row>
    <row r="307" spans="1:28"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69"/>
      <c r="Y307" s="69"/>
      <c r="Z307" s="69"/>
      <c r="AA307" s="69"/>
      <c r="AB307" s="69"/>
    </row>
    <row r="308" spans="1:28"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69"/>
      <c r="Y308" s="69"/>
      <c r="Z308" s="69"/>
      <c r="AA308" s="69"/>
      <c r="AB308" s="69"/>
    </row>
    <row r="309" spans="1:28"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69"/>
      <c r="Y309" s="69"/>
      <c r="Z309" s="69"/>
      <c r="AA309" s="69"/>
      <c r="AB309" s="69"/>
    </row>
    <row r="310" spans="1:28"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69"/>
      <c r="Y310" s="69"/>
      <c r="Z310" s="69"/>
      <c r="AA310" s="69"/>
      <c r="AB310" s="69"/>
    </row>
    <row r="311" spans="1:28"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69"/>
      <c r="Y311" s="69"/>
      <c r="Z311" s="69"/>
      <c r="AA311" s="69"/>
      <c r="AB311" s="69"/>
    </row>
    <row r="312" spans="1:28"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69"/>
      <c r="Y312" s="69"/>
      <c r="Z312" s="69"/>
      <c r="AA312" s="69"/>
      <c r="AB312" s="69"/>
    </row>
    <row r="313" spans="1:28"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69"/>
      <c r="Y313" s="69"/>
      <c r="Z313" s="69"/>
      <c r="AA313" s="69"/>
      <c r="AB313" s="69"/>
    </row>
    <row r="314" spans="1:28"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69"/>
      <c r="Y314" s="69"/>
      <c r="Z314" s="69"/>
      <c r="AA314" s="69"/>
      <c r="AB314" s="69"/>
    </row>
    <row r="315" spans="1:28"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69"/>
      <c r="Y315" s="69"/>
      <c r="Z315" s="69"/>
      <c r="AA315" s="69"/>
      <c r="AB315" s="69"/>
    </row>
    <row r="316" spans="1:28"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69"/>
      <c r="Y316" s="69"/>
      <c r="Z316" s="69"/>
      <c r="AA316" s="69"/>
      <c r="AB316" s="69"/>
    </row>
    <row r="317" spans="1:28"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69"/>
      <c r="Y317" s="69"/>
      <c r="Z317" s="69"/>
      <c r="AA317" s="69"/>
      <c r="AB317" s="69"/>
    </row>
    <row r="318" spans="1:28"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69"/>
      <c r="Y318" s="69"/>
      <c r="Z318" s="69"/>
      <c r="AA318" s="69"/>
      <c r="AB318" s="69"/>
    </row>
    <row r="319" spans="1:28"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69"/>
      <c r="Y319" s="69"/>
      <c r="Z319" s="69"/>
      <c r="AA319" s="69"/>
      <c r="AB319" s="69"/>
    </row>
    <row r="320" spans="1:28"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69"/>
      <c r="Y320" s="69"/>
      <c r="Z320" s="69"/>
      <c r="AA320" s="69"/>
      <c r="AB320" s="69"/>
    </row>
    <row r="321" spans="1:28"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69"/>
      <c r="Y321" s="69"/>
      <c r="Z321" s="69"/>
      <c r="AA321" s="69"/>
      <c r="AB321" s="69"/>
    </row>
    <row r="322" spans="1:28"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69"/>
      <c r="Y322" s="69"/>
      <c r="Z322" s="69"/>
      <c r="AA322" s="69"/>
      <c r="AB322" s="69"/>
    </row>
    <row r="323" spans="1:28"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69"/>
      <c r="Y323" s="69"/>
      <c r="Z323" s="69"/>
      <c r="AA323" s="69"/>
      <c r="AB323" s="69"/>
    </row>
    <row r="324" spans="1:28"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69"/>
      <c r="Y324" s="69"/>
      <c r="Z324" s="69"/>
      <c r="AA324" s="69"/>
      <c r="AB324" s="69"/>
    </row>
    <row r="325" spans="1:28"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69"/>
      <c r="Y325" s="69"/>
      <c r="Z325" s="69"/>
      <c r="AA325" s="69"/>
      <c r="AB325" s="69"/>
    </row>
    <row r="326" spans="1:28"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69"/>
      <c r="Y326" s="69"/>
      <c r="Z326" s="69"/>
      <c r="AA326" s="69"/>
      <c r="AB326" s="69"/>
    </row>
    <row r="327" spans="1:28"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69"/>
      <c r="Y327" s="69"/>
      <c r="Z327" s="69"/>
      <c r="AA327" s="69"/>
      <c r="AB327" s="69"/>
    </row>
    <row r="328" spans="1:28"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69"/>
      <c r="Y328" s="69"/>
      <c r="Z328" s="69"/>
      <c r="AA328" s="69"/>
      <c r="AB328" s="69"/>
    </row>
    <row r="329" spans="1:28"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69"/>
      <c r="Y329" s="69"/>
      <c r="Z329" s="69"/>
      <c r="AA329" s="69"/>
      <c r="AB329" s="69"/>
    </row>
    <row r="330" spans="1:28"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69"/>
      <c r="Y330" s="69"/>
      <c r="Z330" s="69"/>
      <c r="AA330" s="69"/>
      <c r="AB330" s="69"/>
    </row>
    <row r="331" spans="1:28"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69"/>
      <c r="Y331" s="69"/>
      <c r="Z331" s="69"/>
      <c r="AA331" s="69"/>
      <c r="AB331" s="69"/>
    </row>
    <row r="332" spans="1:28"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69"/>
      <c r="Y332" s="69"/>
      <c r="Z332" s="69"/>
      <c r="AA332" s="69"/>
      <c r="AB332" s="69"/>
    </row>
    <row r="333" spans="1:28"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69"/>
      <c r="Y333" s="69"/>
      <c r="Z333" s="69"/>
      <c r="AA333" s="69"/>
      <c r="AB333" s="69"/>
    </row>
    <row r="334" spans="1:28"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69"/>
      <c r="Y334" s="69"/>
      <c r="Z334" s="69"/>
      <c r="AA334" s="69"/>
      <c r="AB334" s="69"/>
    </row>
    <row r="335" spans="1:28"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69"/>
      <c r="Y335" s="69"/>
      <c r="Z335" s="69"/>
      <c r="AA335" s="69"/>
      <c r="AB335" s="69"/>
    </row>
    <row r="336" spans="1:28"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69"/>
      <c r="Y336" s="69"/>
      <c r="Z336" s="69"/>
      <c r="AA336" s="69"/>
      <c r="AB336" s="69"/>
    </row>
    <row r="337" spans="1:28"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69"/>
      <c r="Y337" s="69"/>
      <c r="Z337" s="69"/>
      <c r="AA337" s="69"/>
      <c r="AB337" s="69"/>
    </row>
    <row r="338" spans="1:28"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69"/>
      <c r="Y338" s="69"/>
      <c r="Z338" s="69"/>
      <c r="AA338" s="69"/>
      <c r="AB338" s="69"/>
    </row>
    <row r="339" spans="1:28"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69"/>
      <c r="Y339" s="69"/>
      <c r="Z339" s="69"/>
      <c r="AA339" s="69"/>
      <c r="AB339" s="69"/>
    </row>
    <row r="340" spans="1:28"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69"/>
      <c r="Y340" s="69"/>
      <c r="Z340" s="69"/>
      <c r="AA340" s="69"/>
      <c r="AB340" s="69"/>
    </row>
    <row r="341" spans="1:28"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69"/>
      <c r="Y341" s="69"/>
      <c r="Z341" s="69"/>
      <c r="AA341" s="69"/>
      <c r="AB341" s="69"/>
    </row>
    <row r="342" spans="1:28"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69"/>
      <c r="Y342" s="69"/>
      <c r="Z342" s="69"/>
      <c r="AA342" s="69"/>
      <c r="AB342" s="69"/>
    </row>
    <row r="343" spans="1:28"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69"/>
      <c r="Y343" s="69"/>
      <c r="Z343" s="69"/>
      <c r="AA343" s="69"/>
      <c r="AB343" s="69"/>
    </row>
    <row r="344" spans="1:28"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69"/>
      <c r="Y344" s="69"/>
      <c r="Z344" s="69"/>
      <c r="AA344" s="69"/>
      <c r="AB344" s="69"/>
    </row>
    <row r="345" spans="1:28"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69"/>
      <c r="Y345" s="69"/>
      <c r="Z345" s="69"/>
      <c r="AA345" s="69"/>
      <c r="AB345" s="69"/>
    </row>
    <row r="346" spans="1:28"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69"/>
      <c r="Y346" s="69"/>
      <c r="Z346" s="69"/>
      <c r="AA346" s="69"/>
      <c r="AB346" s="69"/>
    </row>
    <row r="347" spans="1:28"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69"/>
      <c r="Y347" s="69"/>
      <c r="Z347" s="69"/>
      <c r="AA347" s="69"/>
      <c r="AB347" s="69"/>
    </row>
    <row r="348" spans="1:28"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69"/>
      <c r="Y348" s="69"/>
      <c r="Z348" s="69"/>
      <c r="AA348" s="69"/>
      <c r="AB348" s="69"/>
    </row>
    <row r="349" spans="1:28"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69"/>
      <c r="Y349" s="69"/>
      <c r="Z349" s="69"/>
      <c r="AA349" s="69"/>
      <c r="AB349" s="69"/>
    </row>
    <row r="350" spans="1:28"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69"/>
      <c r="Y350" s="69"/>
      <c r="Z350" s="69"/>
      <c r="AA350" s="69"/>
      <c r="AB350" s="69"/>
    </row>
    <row r="351" spans="1:28"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69"/>
      <c r="Y351" s="69"/>
      <c r="Z351" s="69"/>
      <c r="AA351" s="69"/>
      <c r="AB351" s="69"/>
    </row>
    <row r="352" spans="1:28"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69"/>
      <c r="Y352" s="69"/>
      <c r="Z352" s="69"/>
      <c r="AA352" s="69"/>
      <c r="AB352" s="69"/>
    </row>
    <row r="353" spans="1:28"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69"/>
      <c r="Y353" s="69"/>
      <c r="Z353" s="69"/>
      <c r="AA353" s="69"/>
      <c r="AB353" s="69"/>
    </row>
    <row r="354" spans="1:28"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69"/>
      <c r="Y354" s="69"/>
      <c r="Z354" s="69"/>
      <c r="AA354" s="69"/>
      <c r="AB354" s="69"/>
    </row>
    <row r="355" spans="1:28"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69"/>
      <c r="Y355" s="69"/>
      <c r="Z355" s="69"/>
      <c r="AA355" s="69"/>
      <c r="AB355" s="69"/>
    </row>
    <row r="356" spans="1:28"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69"/>
      <c r="Y356" s="69"/>
      <c r="Z356" s="69"/>
      <c r="AA356" s="69"/>
      <c r="AB356" s="69"/>
    </row>
    <row r="357" spans="1:28"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69"/>
      <c r="Y357" s="69"/>
      <c r="Z357" s="69"/>
      <c r="AA357" s="69"/>
      <c r="AB357" s="69"/>
    </row>
    <row r="358" spans="1:28"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69"/>
      <c r="Y358" s="69"/>
      <c r="Z358" s="69"/>
      <c r="AA358" s="69"/>
      <c r="AB358" s="69"/>
    </row>
    <row r="359" spans="1:28"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69"/>
      <c r="Y359" s="69"/>
      <c r="Z359" s="69"/>
      <c r="AA359" s="69"/>
      <c r="AB359" s="69"/>
    </row>
    <row r="360" spans="1:28"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69"/>
      <c r="Y360" s="69"/>
      <c r="Z360" s="69"/>
      <c r="AA360" s="69"/>
      <c r="AB360" s="69"/>
    </row>
    <row r="361" spans="1:28"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69"/>
      <c r="Y361" s="69"/>
      <c r="Z361" s="69"/>
      <c r="AA361" s="69"/>
      <c r="AB361" s="69"/>
    </row>
    <row r="362" spans="1:28"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69"/>
      <c r="Y362" s="69"/>
      <c r="Z362" s="69"/>
      <c r="AA362" s="69"/>
      <c r="AB362" s="69"/>
    </row>
    <row r="363" spans="1:28"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69"/>
      <c r="Y363" s="69"/>
      <c r="Z363" s="69"/>
      <c r="AA363" s="69"/>
      <c r="AB363" s="69"/>
    </row>
    <row r="364" spans="1:28"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69"/>
      <c r="Y364" s="69"/>
      <c r="Z364" s="69"/>
      <c r="AA364" s="69"/>
      <c r="AB364" s="69"/>
    </row>
    <row r="365" spans="1:28"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69"/>
      <c r="Y365" s="69"/>
      <c r="Z365" s="69"/>
      <c r="AA365" s="69"/>
      <c r="AB365" s="69"/>
    </row>
    <row r="366" spans="1:28"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69"/>
      <c r="Y366" s="69"/>
      <c r="Z366" s="69"/>
      <c r="AA366" s="69"/>
      <c r="AB366" s="69"/>
    </row>
    <row r="367" spans="1:28"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69"/>
      <c r="Y367" s="69"/>
      <c r="Z367" s="69"/>
      <c r="AA367" s="69"/>
      <c r="AB367" s="69"/>
    </row>
    <row r="368" spans="1:28"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69"/>
      <c r="Y368" s="69"/>
      <c r="Z368" s="69"/>
      <c r="AA368" s="69"/>
      <c r="AB368" s="69"/>
    </row>
    <row r="369" spans="1:28"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69"/>
      <c r="Y369" s="69"/>
      <c r="Z369" s="69"/>
      <c r="AA369" s="69"/>
      <c r="AB369" s="69"/>
    </row>
    <row r="370" spans="1:28"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69"/>
      <c r="Y370" s="69"/>
      <c r="Z370" s="69"/>
      <c r="AA370" s="69"/>
      <c r="AB370" s="69"/>
    </row>
    <row r="371" spans="1:28"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69"/>
      <c r="Y371" s="69"/>
      <c r="Z371" s="69"/>
      <c r="AA371" s="69"/>
      <c r="AB371" s="69"/>
    </row>
    <row r="372" spans="1:28"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69"/>
      <c r="Y372" s="69"/>
      <c r="Z372" s="69"/>
      <c r="AA372" s="69"/>
      <c r="AB372" s="69"/>
    </row>
    <row r="373" spans="1:28"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69"/>
      <c r="Y373" s="69"/>
      <c r="Z373" s="69"/>
      <c r="AA373" s="69"/>
      <c r="AB373" s="69"/>
    </row>
    <row r="374" spans="1:28"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69"/>
      <c r="Y374" s="69"/>
      <c r="Z374" s="69"/>
      <c r="AA374" s="69"/>
      <c r="AB374" s="69"/>
    </row>
    <row r="375" spans="1:28"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69"/>
      <c r="Y375" s="69"/>
      <c r="Z375" s="69"/>
      <c r="AA375" s="69"/>
      <c r="AB375" s="69"/>
    </row>
    <row r="376" spans="1:28"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69"/>
      <c r="Y376" s="69"/>
      <c r="Z376" s="69"/>
      <c r="AA376" s="69"/>
      <c r="AB376" s="69"/>
    </row>
    <row r="377" spans="1:28"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69"/>
      <c r="Y377" s="69"/>
      <c r="Z377" s="69"/>
      <c r="AA377" s="69"/>
      <c r="AB377" s="69"/>
    </row>
    <row r="378" spans="1:28"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69"/>
      <c r="Y378" s="69"/>
      <c r="Z378" s="69"/>
      <c r="AA378" s="69"/>
      <c r="AB378" s="69"/>
    </row>
    <row r="379" spans="1:28"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69"/>
      <c r="Y379" s="69"/>
      <c r="Z379" s="69"/>
      <c r="AA379" s="69"/>
      <c r="AB379" s="69"/>
    </row>
    <row r="380" spans="1:28"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69"/>
      <c r="Y380" s="69"/>
      <c r="Z380" s="69"/>
      <c r="AA380" s="69"/>
      <c r="AB380" s="69"/>
    </row>
    <row r="381" spans="1:28"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69"/>
      <c r="Y381" s="69"/>
      <c r="Z381" s="69"/>
      <c r="AA381" s="69"/>
      <c r="AB381" s="69"/>
    </row>
    <row r="382" spans="1:28"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69"/>
      <c r="Y382" s="69"/>
      <c r="Z382" s="69"/>
      <c r="AA382" s="69"/>
      <c r="AB382" s="69"/>
    </row>
    <row r="383" spans="1:28"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69"/>
      <c r="Y383" s="69"/>
      <c r="Z383" s="69"/>
      <c r="AA383" s="69"/>
      <c r="AB383" s="69"/>
    </row>
    <row r="384" spans="1:28"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69"/>
      <c r="Y384" s="69"/>
      <c r="Z384" s="69"/>
      <c r="AA384" s="69"/>
      <c r="AB384" s="69"/>
    </row>
    <row r="385" spans="1:28"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69"/>
      <c r="Y385" s="69"/>
      <c r="Z385" s="69"/>
      <c r="AA385" s="69"/>
      <c r="AB385" s="69"/>
    </row>
    <row r="386" spans="1:28"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69"/>
      <c r="Y386" s="69"/>
      <c r="Z386" s="69"/>
      <c r="AA386" s="69"/>
      <c r="AB386" s="69"/>
    </row>
    <row r="387" spans="1:28"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69"/>
      <c r="Y387" s="69"/>
      <c r="Z387" s="69"/>
      <c r="AA387" s="69"/>
      <c r="AB387" s="69"/>
    </row>
    <row r="388" spans="1:28"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69"/>
      <c r="Y388" s="69"/>
      <c r="Z388" s="69"/>
      <c r="AA388" s="69"/>
      <c r="AB388" s="69"/>
    </row>
    <row r="389" spans="1:28"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69"/>
      <c r="Y389" s="69"/>
      <c r="Z389" s="69"/>
      <c r="AA389" s="69"/>
      <c r="AB389" s="69"/>
    </row>
    <row r="390" spans="1:28"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69"/>
      <c r="Y390" s="69"/>
      <c r="Z390" s="69"/>
      <c r="AA390" s="69"/>
      <c r="AB390" s="69"/>
    </row>
    <row r="391" spans="1:28"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69"/>
      <c r="Y391" s="69"/>
      <c r="Z391" s="69"/>
      <c r="AA391" s="69"/>
      <c r="AB391" s="69"/>
    </row>
    <row r="392" spans="1:28"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69"/>
      <c r="Y392" s="69"/>
      <c r="Z392" s="69"/>
      <c r="AA392" s="69"/>
      <c r="AB392" s="69"/>
    </row>
    <row r="393" spans="1:28"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69"/>
      <c r="Y393" s="69"/>
      <c r="Z393" s="69"/>
      <c r="AA393" s="69"/>
      <c r="AB393" s="69"/>
    </row>
    <row r="394" spans="1:28"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69"/>
      <c r="Y394" s="69"/>
      <c r="Z394" s="69"/>
      <c r="AA394" s="69"/>
      <c r="AB394" s="69"/>
    </row>
    <row r="395" spans="1:28"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69"/>
      <c r="Y395" s="69"/>
      <c r="Z395" s="69"/>
      <c r="AA395" s="69"/>
      <c r="AB395" s="69"/>
    </row>
    <row r="396" spans="1:28"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69"/>
      <c r="Y396" s="69"/>
      <c r="Z396" s="69"/>
      <c r="AA396" s="69"/>
      <c r="AB396" s="69"/>
    </row>
    <row r="397" spans="1:28"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69"/>
      <c r="Y397" s="69"/>
      <c r="Z397" s="69"/>
      <c r="AA397" s="69"/>
      <c r="AB397" s="69"/>
    </row>
    <row r="398" spans="1:28"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69"/>
      <c r="Y398" s="69"/>
      <c r="Z398" s="69"/>
      <c r="AA398" s="69"/>
      <c r="AB398" s="69"/>
    </row>
    <row r="399" spans="1:28"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69"/>
      <c r="Y399" s="69"/>
      <c r="Z399" s="69"/>
      <c r="AA399" s="69"/>
      <c r="AB399" s="69"/>
    </row>
    <row r="400" spans="1:28"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69"/>
      <c r="Y400" s="69"/>
      <c r="Z400" s="69"/>
      <c r="AA400" s="69"/>
      <c r="AB400" s="69"/>
    </row>
    <row r="401" spans="1:28"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69"/>
      <c r="Y401" s="69"/>
      <c r="Z401" s="69"/>
      <c r="AA401" s="69"/>
      <c r="AB401" s="69"/>
    </row>
    <row r="402" spans="1:28"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69"/>
      <c r="Y402" s="69"/>
      <c r="Z402" s="69"/>
      <c r="AA402" s="69"/>
      <c r="AB402" s="69"/>
    </row>
    <row r="403" spans="1:28"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69"/>
      <c r="Y403" s="69"/>
      <c r="Z403" s="69"/>
      <c r="AA403" s="69"/>
      <c r="AB403" s="69"/>
    </row>
    <row r="404" spans="1:28"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69"/>
      <c r="Y404" s="69"/>
      <c r="Z404" s="69"/>
      <c r="AA404" s="69"/>
      <c r="AB404" s="69"/>
    </row>
    <row r="405" spans="1:28"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69"/>
      <c r="Y405" s="69"/>
      <c r="Z405" s="69"/>
      <c r="AA405" s="69"/>
      <c r="AB405" s="69"/>
    </row>
    <row r="406" spans="1:28"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69"/>
      <c r="Y406" s="69"/>
      <c r="Z406" s="69"/>
      <c r="AA406" s="69"/>
      <c r="AB406" s="69"/>
    </row>
    <row r="407" spans="1:28"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69"/>
      <c r="Y407" s="69"/>
      <c r="Z407" s="69"/>
      <c r="AA407" s="69"/>
      <c r="AB407" s="69"/>
    </row>
    <row r="408" spans="1:28"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69"/>
      <c r="Y408" s="69"/>
      <c r="Z408" s="69"/>
      <c r="AA408" s="69"/>
      <c r="AB408" s="69"/>
    </row>
    <row r="409" spans="1:28"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69"/>
      <c r="Y409" s="69"/>
      <c r="Z409" s="69"/>
      <c r="AA409" s="69"/>
      <c r="AB409" s="69"/>
    </row>
    <row r="410" spans="1:28"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69"/>
      <c r="Y410" s="69"/>
      <c r="Z410" s="69"/>
      <c r="AA410" s="69"/>
      <c r="AB410" s="69"/>
    </row>
    <row r="411" spans="1:28"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69"/>
      <c r="Y411" s="69"/>
      <c r="Z411" s="69"/>
      <c r="AA411" s="69"/>
      <c r="AB411" s="69"/>
    </row>
    <row r="412" spans="1:28"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69"/>
      <c r="Y412" s="69"/>
      <c r="Z412" s="69"/>
      <c r="AA412" s="69"/>
      <c r="AB412" s="69"/>
    </row>
    <row r="413" spans="1:28"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69"/>
      <c r="Y413" s="69"/>
      <c r="Z413" s="69"/>
      <c r="AA413" s="69"/>
      <c r="AB413" s="69"/>
    </row>
    <row r="414" spans="1:28"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69"/>
      <c r="Y414" s="69"/>
      <c r="Z414" s="69"/>
      <c r="AA414" s="69"/>
      <c r="AB414" s="69"/>
    </row>
    <row r="415" spans="1:28"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69"/>
      <c r="Y415" s="69"/>
      <c r="Z415" s="69"/>
      <c r="AA415" s="69"/>
      <c r="AB415" s="69"/>
    </row>
    <row r="416" spans="1:28"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69"/>
      <c r="Y416" s="69"/>
      <c r="Z416" s="69"/>
      <c r="AA416" s="69"/>
      <c r="AB416" s="69"/>
    </row>
    <row r="417" spans="1:28"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69"/>
      <c r="Y417" s="69"/>
      <c r="Z417" s="69"/>
      <c r="AA417" s="69"/>
      <c r="AB417" s="69"/>
    </row>
    <row r="418" spans="1:28"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69"/>
      <c r="Y418" s="69"/>
      <c r="Z418" s="69"/>
      <c r="AA418" s="69"/>
      <c r="AB418" s="69"/>
    </row>
    <row r="419" spans="1:28"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69"/>
      <c r="Y419" s="69"/>
      <c r="Z419" s="69"/>
      <c r="AA419" s="69"/>
      <c r="AB419" s="69"/>
    </row>
    <row r="420" spans="1:28"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69"/>
      <c r="Y420" s="69"/>
      <c r="Z420" s="69"/>
      <c r="AA420" s="69"/>
      <c r="AB420" s="69"/>
    </row>
    <row r="421" spans="1:28"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69"/>
      <c r="Y421" s="69"/>
      <c r="Z421" s="69"/>
      <c r="AA421" s="69"/>
      <c r="AB421" s="69"/>
    </row>
    <row r="422" spans="1:28"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69"/>
      <c r="Y422" s="69"/>
      <c r="Z422" s="69"/>
      <c r="AA422" s="69"/>
      <c r="AB422" s="69"/>
    </row>
    <row r="423" spans="1:28"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69"/>
      <c r="Y423" s="69"/>
      <c r="Z423" s="69"/>
      <c r="AA423" s="69"/>
      <c r="AB423" s="69"/>
    </row>
    <row r="424" spans="1:28"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69"/>
      <c r="Y424" s="69"/>
      <c r="Z424" s="69"/>
      <c r="AA424" s="69"/>
      <c r="AB424" s="69"/>
    </row>
    <row r="425" spans="1:28"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69"/>
      <c r="Y425" s="69"/>
      <c r="Z425" s="69"/>
      <c r="AA425" s="69"/>
      <c r="AB425" s="69"/>
    </row>
    <row r="426" spans="1:28"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69"/>
      <c r="Y426" s="69"/>
      <c r="Z426" s="69"/>
      <c r="AA426" s="69"/>
      <c r="AB426" s="69"/>
    </row>
    <row r="427" spans="1:28"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69"/>
      <c r="Y427" s="69"/>
      <c r="Z427" s="69"/>
      <c r="AA427" s="69"/>
      <c r="AB427" s="69"/>
    </row>
    <row r="428" spans="1:28"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69"/>
      <c r="Y428" s="69"/>
      <c r="Z428" s="69"/>
      <c r="AA428" s="69"/>
      <c r="AB428" s="69"/>
    </row>
    <row r="429" spans="1:28"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69"/>
      <c r="Y429" s="69"/>
      <c r="Z429" s="69"/>
      <c r="AA429" s="69"/>
      <c r="AB429" s="69"/>
    </row>
    <row r="430" spans="1:28"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69"/>
      <c r="Y430" s="69"/>
      <c r="Z430" s="69"/>
      <c r="AA430" s="69"/>
      <c r="AB430" s="69"/>
    </row>
    <row r="431" spans="1:28"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69"/>
      <c r="Y431" s="69"/>
      <c r="Z431" s="69"/>
      <c r="AA431" s="69"/>
      <c r="AB431" s="69"/>
    </row>
    <row r="432" spans="1:28"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69"/>
      <c r="Y432" s="69"/>
      <c r="Z432" s="69"/>
      <c r="AA432" s="69"/>
      <c r="AB432" s="69"/>
    </row>
    <row r="433" spans="1:28"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69"/>
      <c r="Y433" s="69"/>
      <c r="Z433" s="69"/>
      <c r="AA433" s="69"/>
      <c r="AB433" s="69"/>
    </row>
    <row r="434" spans="1:28"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69"/>
      <c r="Y434" s="69"/>
      <c r="Z434" s="69"/>
      <c r="AA434" s="69"/>
      <c r="AB434" s="69"/>
    </row>
    <row r="435" spans="1:28"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69"/>
      <c r="Y435" s="69"/>
      <c r="Z435" s="69"/>
      <c r="AA435" s="69"/>
      <c r="AB435" s="69"/>
    </row>
    <row r="436" spans="1:28"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69"/>
      <c r="Y436" s="69"/>
      <c r="Z436" s="69"/>
      <c r="AA436" s="69"/>
      <c r="AB436" s="69"/>
    </row>
    <row r="437" spans="1:28"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69"/>
      <c r="Y437" s="69"/>
      <c r="Z437" s="69"/>
      <c r="AA437" s="69"/>
      <c r="AB437" s="69"/>
    </row>
    <row r="438" spans="1:28"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69"/>
      <c r="Y438" s="69"/>
      <c r="Z438" s="69"/>
      <c r="AA438" s="69"/>
      <c r="AB438" s="69"/>
    </row>
    <row r="439" spans="1:28"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69"/>
      <c r="Y439" s="69"/>
      <c r="Z439" s="69"/>
      <c r="AA439" s="69"/>
      <c r="AB439" s="69"/>
    </row>
    <row r="440" spans="1:28"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69"/>
      <c r="Y440" s="69"/>
      <c r="Z440" s="69"/>
      <c r="AA440" s="69"/>
      <c r="AB440" s="69"/>
    </row>
    <row r="441" spans="1:28"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69"/>
      <c r="Y441" s="69"/>
      <c r="Z441" s="69"/>
      <c r="AA441" s="69"/>
      <c r="AB441" s="69"/>
    </row>
    <row r="442" spans="1:28"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69"/>
      <c r="Y442" s="69"/>
      <c r="Z442" s="69"/>
      <c r="AA442" s="69"/>
      <c r="AB442" s="69"/>
    </row>
    <row r="443" spans="1:28"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69"/>
      <c r="Y443" s="69"/>
      <c r="Z443" s="69"/>
      <c r="AA443" s="69"/>
      <c r="AB443" s="69"/>
    </row>
    <row r="444" spans="1:28"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69"/>
      <c r="Y444" s="69"/>
      <c r="Z444" s="69"/>
      <c r="AA444" s="69"/>
      <c r="AB444" s="69"/>
    </row>
    <row r="445" spans="1:28"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69"/>
      <c r="Y445" s="69"/>
      <c r="Z445" s="69"/>
      <c r="AA445" s="69"/>
      <c r="AB445" s="69"/>
    </row>
    <row r="446" spans="1:28"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69"/>
      <c r="Y446" s="69"/>
      <c r="Z446" s="69"/>
      <c r="AA446" s="69"/>
      <c r="AB446" s="69"/>
    </row>
    <row r="447" spans="1:28"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69"/>
      <c r="Y447" s="69"/>
      <c r="Z447" s="69"/>
      <c r="AA447" s="69"/>
      <c r="AB447" s="69"/>
    </row>
    <row r="448" spans="1:28"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69"/>
      <c r="Y448" s="69"/>
      <c r="Z448" s="69"/>
      <c r="AA448" s="69"/>
      <c r="AB448" s="69"/>
    </row>
    <row r="449" spans="1:28"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69"/>
      <c r="Y449" s="69"/>
      <c r="Z449" s="69"/>
      <c r="AA449" s="69"/>
      <c r="AB449" s="69"/>
    </row>
    <row r="450" spans="1:28"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69"/>
      <c r="Y450" s="69"/>
      <c r="Z450" s="69"/>
      <c r="AA450" s="69"/>
      <c r="AB450" s="69"/>
    </row>
    <row r="451" spans="1:28"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69"/>
      <c r="Y451" s="69"/>
      <c r="Z451" s="69"/>
      <c r="AA451" s="69"/>
      <c r="AB451" s="69"/>
    </row>
    <row r="452" spans="1:28"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69"/>
      <c r="Y452" s="69"/>
      <c r="Z452" s="69"/>
      <c r="AA452" s="69"/>
      <c r="AB452" s="69"/>
    </row>
    <row r="453" spans="1:28"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69"/>
      <c r="Y453" s="69"/>
      <c r="Z453" s="69"/>
      <c r="AA453" s="69"/>
      <c r="AB453" s="69"/>
    </row>
    <row r="454" spans="1:28"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69"/>
      <c r="Y454" s="69"/>
      <c r="Z454" s="69"/>
      <c r="AA454" s="69"/>
      <c r="AB454" s="69"/>
    </row>
    <row r="455" spans="1:28"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69"/>
      <c r="Y455" s="69"/>
      <c r="Z455" s="69"/>
      <c r="AA455" s="69"/>
      <c r="AB455" s="69"/>
    </row>
    <row r="456" spans="1:28"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69"/>
      <c r="Y456" s="69"/>
      <c r="Z456" s="69"/>
      <c r="AA456" s="69"/>
      <c r="AB456" s="69"/>
    </row>
    <row r="457" spans="1:28"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69"/>
      <c r="Y457" s="69"/>
      <c r="Z457" s="69"/>
      <c r="AA457" s="69"/>
      <c r="AB457" s="69"/>
    </row>
    <row r="458" spans="1:28"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69"/>
      <c r="Y458" s="69"/>
      <c r="Z458" s="69"/>
      <c r="AA458" s="69"/>
      <c r="AB458" s="69"/>
    </row>
    <row r="459" spans="1:28"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69"/>
      <c r="Y459" s="69"/>
      <c r="Z459" s="69"/>
      <c r="AA459" s="69"/>
      <c r="AB459" s="69"/>
    </row>
    <row r="460" spans="1:28"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69"/>
      <c r="Y460" s="69"/>
      <c r="Z460" s="69"/>
      <c r="AA460" s="69"/>
      <c r="AB460" s="69"/>
    </row>
    <row r="461" spans="1:28"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69"/>
      <c r="Y461" s="69"/>
      <c r="Z461" s="69"/>
      <c r="AA461" s="69"/>
      <c r="AB461" s="69"/>
    </row>
    <row r="462" spans="1:28"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69"/>
      <c r="Y462" s="69"/>
      <c r="Z462" s="69"/>
      <c r="AA462" s="69"/>
      <c r="AB462" s="69"/>
    </row>
    <row r="463" spans="1:28"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69"/>
      <c r="Y463" s="69"/>
      <c r="Z463" s="69"/>
      <c r="AA463" s="69"/>
      <c r="AB463" s="69"/>
    </row>
    <row r="464" spans="1:28"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69"/>
      <c r="Y464" s="69"/>
      <c r="Z464" s="69"/>
      <c r="AA464" s="69"/>
      <c r="AB464" s="69"/>
    </row>
    <row r="465" spans="1:28"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69"/>
      <c r="Y465" s="69"/>
      <c r="Z465" s="69"/>
      <c r="AA465" s="69"/>
      <c r="AB465" s="69"/>
    </row>
    <row r="466" spans="1:28"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69"/>
      <c r="Y466" s="69"/>
      <c r="Z466" s="69"/>
      <c r="AA466" s="69"/>
      <c r="AB466" s="69"/>
    </row>
    <row r="467" spans="1:28"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69"/>
      <c r="Y467" s="69"/>
      <c r="Z467" s="69"/>
      <c r="AA467" s="69"/>
      <c r="AB467" s="69"/>
    </row>
    <row r="468" spans="1:28"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69"/>
      <c r="Y468" s="69"/>
      <c r="Z468" s="69"/>
      <c r="AA468" s="69"/>
      <c r="AB468" s="69"/>
    </row>
    <row r="469" spans="1:28"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69"/>
      <c r="Y469" s="69"/>
      <c r="Z469" s="69"/>
      <c r="AA469" s="69"/>
      <c r="AB469" s="69"/>
    </row>
    <row r="470" spans="1:28"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69"/>
      <c r="Y470" s="69"/>
      <c r="Z470" s="69"/>
      <c r="AA470" s="69"/>
      <c r="AB470" s="69"/>
    </row>
    <row r="471" spans="1:28"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69"/>
      <c r="Y471" s="69"/>
      <c r="Z471" s="69"/>
      <c r="AA471" s="69"/>
      <c r="AB471" s="69"/>
    </row>
    <row r="472" spans="1:28"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69"/>
      <c r="Y472" s="69"/>
      <c r="Z472" s="69"/>
      <c r="AA472" s="69"/>
      <c r="AB472" s="69"/>
    </row>
    <row r="473" spans="1:28"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69"/>
      <c r="Y473" s="69"/>
      <c r="Z473" s="69"/>
      <c r="AA473" s="69"/>
      <c r="AB473" s="69"/>
    </row>
    <row r="474" spans="1:28"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69"/>
      <c r="Y474" s="69"/>
      <c r="Z474" s="69"/>
      <c r="AA474" s="69"/>
      <c r="AB474" s="69"/>
    </row>
    <row r="475" spans="1:28"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69"/>
      <c r="Y475" s="69"/>
      <c r="Z475" s="69"/>
      <c r="AA475" s="69"/>
      <c r="AB475" s="69"/>
    </row>
    <row r="476" spans="1:28"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69"/>
      <c r="Y476" s="69"/>
      <c r="Z476" s="69"/>
      <c r="AA476" s="69"/>
      <c r="AB476" s="69"/>
    </row>
    <row r="477" spans="1:28"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69"/>
      <c r="Y477" s="69"/>
      <c r="Z477" s="69"/>
      <c r="AA477" s="69"/>
      <c r="AB477" s="69"/>
    </row>
    <row r="478" spans="1:28"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69"/>
      <c r="Y478" s="69"/>
      <c r="Z478" s="69"/>
      <c r="AA478" s="69"/>
      <c r="AB478" s="69"/>
    </row>
    <row r="479" spans="1:28"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69"/>
      <c r="Y479" s="69"/>
      <c r="Z479" s="69"/>
      <c r="AA479" s="69"/>
      <c r="AB479" s="69"/>
    </row>
    <row r="480" spans="1:28"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69"/>
      <c r="Y480" s="69"/>
      <c r="Z480" s="69"/>
      <c r="AA480" s="69"/>
      <c r="AB480" s="69"/>
    </row>
    <row r="481" spans="1:28"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69"/>
      <c r="Y481" s="69"/>
      <c r="Z481" s="69"/>
      <c r="AA481" s="69"/>
      <c r="AB481" s="69"/>
    </row>
    <row r="482" spans="1:28"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69"/>
      <c r="Y482" s="69"/>
      <c r="Z482" s="69"/>
      <c r="AA482" s="69"/>
      <c r="AB482" s="69"/>
    </row>
    <row r="483" spans="1:28"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69"/>
      <c r="Y483" s="69"/>
      <c r="Z483" s="69"/>
      <c r="AA483" s="69"/>
      <c r="AB483" s="69"/>
    </row>
    <row r="484" spans="1:28"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69"/>
      <c r="Y484" s="69"/>
      <c r="Z484" s="69"/>
      <c r="AA484" s="69"/>
      <c r="AB484" s="69"/>
    </row>
    <row r="485" spans="1:28"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69"/>
      <c r="Y485" s="69"/>
      <c r="Z485" s="69"/>
      <c r="AA485" s="69"/>
      <c r="AB485" s="69"/>
    </row>
    <row r="486" spans="1:28"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69"/>
      <c r="Y486" s="69"/>
      <c r="Z486" s="69"/>
      <c r="AA486" s="69"/>
      <c r="AB486" s="69"/>
    </row>
    <row r="487" spans="1:28"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69"/>
      <c r="Y487" s="69"/>
      <c r="Z487" s="69"/>
      <c r="AA487" s="69"/>
      <c r="AB487" s="69"/>
    </row>
    <row r="488" spans="1:28"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69"/>
      <c r="Y488" s="69"/>
      <c r="Z488" s="69"/>
      <c r="AA488" s="69"/>
      <c r="AB488" s="69"/>
    </row>
    <row r="489" spans="1:28"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69"/>
      <c r="Y489" s="69"/>
      <c r="Z489" s="69"/>
      <c r="AA489" s="69"/>
      <c r="AB489" s="69"/>
    </row>
    <row r="490" spans="1:28"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69"/>
      <c r="Y490" s="69"/>
      <c r="Z490" s="69"/>
      <c r="AA490" s="69"/>
      <c r="AB490" s="69"/>
    </row>
    <row r="491" spans="1:28"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69"/>
      <c r="Y491" s="69"/>
      <c r="Z491" s="69"/>
      <c r="AA491" s="69"/>
      <c r="AB491" s="69"/>
    </row>
    <row r="492" spans="1:28"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69"/>
      <c r="Y492" s="69"/>
      <c r="Z492" s="69"/>
      <c r="AA492" s="69"/>
      <c r="AB492" s="69"/>
    </row>
    <row r="493" spans="1:28"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69"/>
      <c r="Y493" s="69"/>
      <c r="Z493" s="69"/>
      <c r="AA493" s="69"/>
      <c r="AB493" s="69"/>
    </row>
    <row r="494" spans="1:28"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69"/>
      <c r="Y494" s="69"/>
      <c r="Z494" s="69"/>
      <c r="AA494" s="69"/>
      <c r="AB494" s="69"/>
    </row>
    <row r="495" spans="1:28"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69"/>
      <c r="Y495" s="69"/>
      <c r="Z495" s="69"/>
      <c r="AA495" s="69"/>
      <c r="AB495" s="69"/>
    </row>
    <row r="496" spans="1:28"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69"/>
      <c r="Y496" s="69"/>
      <c r="Z496" s="69"/>
      <c r="AA496" s="69"/>
      <c r="AB496" s="69"/>
    </row>
    <row r="497" spans="1:28"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69"/>
      <c r="Y497" s="69"/>
      <c r="Z497" s="69"/>
      <c r="AA497" s="69"/>
      <c r="AB497" s="69"/>
    </row>
    <row r="498" spans="1:28"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69"/>
      <c r="Y498" s="69"/>
      <c r="Z498" s="69"/>
      <c r="AA498" s="69"/>
      <c r="AB498" s="69"/>
    </row>
    <row r="499" spans="1:28"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69"/>
      <c r="Y499" s="69"/>
      <c r="Z499" s="69"/>
      <c r="AA499" s="69"/>
      <c r="AB499" s="69"/>
    </row>
    <row r="500" spans="1:28"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69"/>
      <c r="Y500" s="69"/>
      <c r="Z500" s="69"/>
      <c r="AA500" s="69"/>
      <c r="AB500" s="69"/>
    </row>
    <row r="501" spans="1:28"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69"/>
      <c r="Y501" s="69"/>
      <c r="Z501" s="69"/>
      <c r="AA501" s="69"/>
      <c r="AB501" s="69"/>
    </row>
    <row r="502" spans="1:28"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69"/>
      <c r="Y502" s="69"/>
      <c r="Z502" s="69"/>
      <c r="AA502" s="69"/>
      <c r="AB502" s="69"/>
    </row>
    <row r="503" spans="1:28"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69"/>
      <c r="Y503" s="69"/>
      <c r="Z503" s="69"/>
      <c r="AA503" s="69"/>
      <c r="AB503" s="69"/>
    </row>
    <row r="504" spans="1:28"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69"/>
      <c r="Y504" s="69"/>
      <c r="Z504" s="69"/>
      <c r="AA504" s="69"/>
      <c r="AB504" s="69"/>
    </row>
    <row r="505" spans="1:28"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69"/>
      <c r="Y505" s="69"/>
      <c r="Z505" s="69"/>
      <c r="AA505" s="69"/>
      <c r="AB505" s="69"/>
    </row>
    <row r="506" spans="1:28"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69"/>
      <c r="Y506" s="69"/>
      <c r="Z506" s="69"/>
      <c r="AA506" s="69"/>
      <c r="AB506" s="69"/>
    </row>
    <row r="507" spans="1:28"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69"/>
      <c r="Y507" s="69"/>
      <c r="Z507" s="69"/>
      <c r="AA507" s="69"/>
      <c r="AB507" s="69"/>
    </row>
    <row r="508" spans="1:28"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69"/>
      <c r="Y508" s="69"/>
      <c r="Z508" s="69"/>
      <c r="AA508" s="69"/>
      <c r="AB508" s="69"/>
    </row>
    <row r="509" spans="1:28"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69"/>
      <c r="Y509" s="69"/>
      <c r="Z509" s="69"/>
      <c r="AA509" s="69"/>
      <c r="AB509" s="69"/>
    </row>
    <row r="510" spans="1:28"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69"/>
      <c r="Y510" s="69"/>
      <c r="Z510" s="69"/>
      <c r="AA510" s="69"/>
      <c r="AB510" s="69"/>
    </row>
    <row r="511" spans="1:28"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69"/>
      <c r="Y511" s="69"/>
      <c r="Z511" s="69"/>
      <c r="AA511" s="69"/>
      <c r="AB511" s="69"/>
    </row>
    <row r="512" spans="1:28"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69"/>
      <c r="Y512" s="69"/>
      <c r="Z512" s="69"/>
      <c r="AA512" s="69"/>
      <c r="AB512" s="69"/>
    </row>
    <row r="513" spans="1:28"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69"/>
      <c r="Y513" s="69"/>
      <c r="Z513" s="69"/>
      <c r="AA513" s="69"/>
      <c r="AB513" s="69"/>
    </row>
    <row r="514" spans="1:28"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69"/>
      <c r="Y514" s="69"/>
      <c r="Z514" s="69"/>
      <c r="AA514" s="69"/>
      <c r="AB514" s="69"/>
    </row>
    <row r="515" spans="1:28"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69"/>
      <c r="Y515" s="69"/>
      <c r="Z515" s="69"/>
      <c r="AA515" s="69"/>
      <c r="AB515" s="69"/>
    </row>
    <row r="516" spans="1:28"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69"/>
      <c r="Y516" s="69"/>
      <c r="Z516" s="69"/>
      <c r="AA516" s="69"/>
      <c r="AB516" s="69"/>
    </row>
    <row r="517" spans="1:28"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69"/>
      <c r="Y517" s="69"/>
      <c r="Z517" s="69"/>
      <c r="AA517" s="69"/>
      <c r="AB517" s="69"/>
    </row>
    <row r="518" spans="1:28"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69"/>
      <c r="Y518" s="69"/>
      <c r="Z518" s="69"/>
      <c r="AA518" s="69"/>
      <c r="AB518" s="69"/>
    </row>
    <row r="519" spans="1:28"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69"/>
      <c r="Y519" s="69"/>
      <c r="Z519" s="69"/>
      <c r="AA519" s="69"/>
      <c r="AB519" s="69"/>
    </row>
    <row r="520" spans="1:28"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69"/>
      <c r="Y520" s="69"/>
      <c r="Z520" s="69"/>
      <c r="AA520" s="69"/>
      <c r="AB520" s="69"/>
    </row>
    <row r="521" spans="1:28"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69"/>
      <c r="Y521" s="69"/>
      <c r="Z521" s="69"/>
      <c r="AA521" s="69"/>
      <c r="AB521" s="69"/>
    </row>
    <row r="522" spans="1:28"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69"/>
      <c r="Y522" s="69"/>
      <c r="Z522" s="69"/>
      <c r="AA522" s="69"/>
      <c r="AB522" s="69"/>
    </row>
    <row r="523" spans="1:28"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69"/>
      <c r="Y523" s="69"/>
      <c r="Z523" s="69"/>
      <c r="AA523" s="69"/>
      <c r="AB523" s="69"/>
    </row>
    <row r="524" spans="1:28"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69"/>
      <c r="Y524" s="69"/>
      <c r="Z524" s="69"/>
      <c r="AA524" s="69"/>
      <c r="AB524" s="69"/>
    </row>
    <row r="525" spans="1:28"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69"/>
      <c r="Y525" s="69"/>
      <c r="Z525" s="69"/>
      <c r="AA525" s="69"/>
      <c r="AB525" s="69"/>
    </row>
    <row r="526" spans="1:28"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69"/>
      <c r="Y526" s="69"/>
      <c r="Z526" s="69"/>
      <c r="AA526" s="69"/>
      <c r="AB526" s="69"/>
    </row>
    <row r="527" spans="1:28"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69"/>
      <c r="Y527" s="69"/>
      <c r="Z527" s="69"/>
      <c r="AA527" s="69"/>
      <c r="AB527" s="69"/>
    </row>
    <row r="528" spans="1:28"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69"/>
      <c r="Y528" s="69"/>
      <c r="Z528" s="69"/>
      <c r="AA528" s="69"/>
      <c r="AB528" s="69"/>
    </row>
    <row r="529" spans="1:28"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69"/>
      <c r="Y529" s="69"/>
      <c r="Z529" s="69"/>
      <c r="AA529" s="69"/>
      <c r="AB529" s="69"/>
    </row>
    <row r="530" spans="1:28"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69"/>
      <c r="Y530" s="69"/>
      <c r="Z530" s="69"/>
      <c r="AA530" s="69"/>
      <c r="AB530" s="69"/>
    </row>
    <row r="531" spans="1:28"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69"/>
      <c r="Y531" s="69"/>
      <c r="Z531" s="69"/>
      <c r="AA531" s="69"/>
      <c r="AB531" s="69"/>
    </row>
    <row r="532" spans="1:28"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69"/>
      <c r="Y532" s="69"/>
      <c r="Z532" s="69"/>
      <c r="AA532" s="69"/>
      <c r="AB532" s="69"/>
    </row>
    <row r="533" spans="1:28"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69"/>
      <c r="Y533" s="69"/>
      <c r="Z533" s="69"/>
      <c r="AA533" s="69"/>
      <c r="AB533" s="69"/>
    </row>
    <row r="534" spans="1:28"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69"/>
      <c r="Y534" s="69"/>
      <c r="Z534" s="69"/>
      <c r="AA534" s="69"/>
      <c r="AB534" s="69"/>
    </row>
    <row r="535" spans="1:28"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69"/>
      <c r="Y535" s="69"/>
      <c r="Z535" s="69"/>
      <c r="AA535" s="69"/>
      <c r="AB535" s="69"/>
    </row>
    <row r="536" spans="1:28"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69"/>
      <c r="Y536" s="69"/>
      <c r="Z536" s="69"/>
      <c r="AA536" s="69"/>
      <c r="AB536" s="69"/>
    </row>
    <row r="537" spans="1:28"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69"/>
      <c r="Y537" s="69"/>
      <c r="Z537" s="69"/>
      <c r="AA537" s="69"/>
      <c r="AB537" s="69"/>
    </row>
    <row r="538" spans="1:28"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69"/>
      <c r="Y538" s="69"/>
      <c r="Z538" s="69"/>
      <c r="AA538" s="69"/>
      <c r="AB538" s="69"/>
    </row>
    <row r="539" spans="1:28"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69"/>
      <c r="Y539" s="69"/>
      <c r="Z539" s="69"/>
      <c r="AA539" s="69"/>
      <c r="AB539" s="69"/>
    </row>
    <row r="540" spans="1:28"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69"/>
      <c r="Y540" s="69"/>
      <c r="Z540" s="69"/>
      <c r="AA540" s="69"/>
      <c r="AB540" s="69"/>
    </row>
    <row r="541" spans="1:28"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69"/>
      <c r="Y541" s="69"/>
      <c r="Z541" s="69"/>
      <c r="AA541" s="69"/>
      <c r="AB541" s="69"/>
    </row>
    <row r="542" spans="1:28"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69"/>
      <c r="Y542" s="69"/>
      <c r="Z542" s="69"/>
      <c r="AA542" s="69"/>
      <c r="AB542" s="69"/>
    </row>
    <row r="543" spans="1:28"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69"/>
      <c r="Y543" s="69"/>
      <c r="Z543" s="69"/>
      <c r="AA543" s="69"/>
      <c r="AB543" s="69"/>
    </row>
    <row r="544" spans="1:28"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69"/>
      <c r="Y544" s="69"/>
      <c r="Z544" s="69"/>
      <c r="AA544" s="69"/>
      <c r="AB544" s="69"/>
    </row>
    <row r="545" spans="1:28"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69"/>
      <c r="Y545" s="69"/>
      <c r="Z545" s="69"/>
      <c r="AA545" s="69"/>
      <c r="AB545" s="69"/>
    </row>
    <row r="546" spans="1:28"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69"/>
      <c r="Y546" s="69"/>
      <c r="Z546" s="69"/>
      <c r="AA546" s="69"/>
      <c r="AB546" s="69"/>
    </row>
    <row r="547" spans="1:28"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69"/>
      <c r="Y547" s="69"/>
      <c r="Z547" s="69"/>
      <c r="AA547" s="69"/>
      <c r="AB547" s="69"/>
    </row>
    <row r="548" spans="1:28"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69"/>
      <c r="Y548" s="69"/>
      <c r="Z548" s="69"/>
      <c r="AA548" s="69"/>
      <c r="AB548" s="69"/>
    </row>
    <row r="549" spans="1:28"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69"/>
      <c r="Y549" s="69"/>
      <c r="Z549" s="69"/>
      <c r="AA549" s="69"/>
      <c r="AB549" s="69"/>
    </row>
    <row r="550" spans="1:28"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69"/>
      <c r="Y550" s="69"/>
      <c r="Z550" s="69"/>
      <c r="AA550" s="69"/>
      <c r="AB550" s="69"/>
    </row>
    <row r="551" spans="1:28"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69"/>
      <c r="Y551" s="69"/>
      <c r="Z551" s="69"/>
      <c r="AA551" s="69"/>
      <c r="AB551" s="69"/>
    </row>
    <row r="552" spans="1:28"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69"/>
      <c r="Y552" s="69"/>
      <c r="Z552" s="69"/>
      <c r="AA552" s="69"/>
      <c r="AB552" s="69"/>
    </row>
    <row r="553" spans="1:28"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69"/>
      <c r="Y553" s="69"/>
      <c r="Z553" s="69"/>
      <c r="AA553" s="69"/>
      <c r="AB553" s="69"/>
    </row>
    <row r="554" spans="1:28"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69"/>
      <c r="Y554" s="69"/>
      <c r="Z554" s="69"/>
      <c r="AA554" s="69"/>
      <c r="AB554" s="69"/>
    </row>
    <row r="555" spans="1:28"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69"/>
      <c r="Y555" s="69"/>
      <c r="Z555" s="69"/>
      <c r="AA555" s="69"/>
      <c r="AB555" s="69"/>
    </row>
    <row r="556" spans="1:28"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69"/>
      <c r="Y556" s="69"/>
      <c r="Z556" s="69"/>
      <c r="AA556" s="69"/>
      <c r="AB556" s="69"/>
    </row>
    <row r="557" spans="1:28"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69"/>
      <c r="Y557" s="69"/>
      <c r="Z557" s="69"/>
      <c r="AA557" s="69"/>
      <c r="AB557" s="69"/>
    </row>
    <row r="558" spans="1:28"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69"/>
      <c r="Y558" s="69"/>
      <c r="Z558" s="69"/>
      <c r="AA558" s="69"/>
      <c r="AB558" s="69"/>
    </row>
    <row r="559" spans="1:28"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69"/>
      <c r="Y559" s="69"/>
      <c r="Z559" s="69"/>
      <c r="AA559" s="69"/>
      <c r="AB559" s="69"/>
    </row>
    <row r="560" spans="1:28"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69"/>
      <c r="Y560" s="69"/>
      <c r="Z560" s="69"/>
      <c r="AA560" s="69"/>
      <c r="AB560" s="69"/>
    </row>
    <row r="561" spans="1:28"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69"/>
      <c r="Y561" s="69"/>
      <c r="Z561" s="69"/>
      <c r="AA561" s="69"/>
      <c r="AB561" s="69"/>
    </row>
    <row r="562" spans="1:28"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69"/>
      <c r="Y562" s="69"/>
      <c r="Z562" s="69"/>
      <c r="AA562" s="69"/>
      <c r="AB562" s="69"/>
    </row>
    <row r="563" spans="1:28"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69"/>
      <c r="Y563" s="69"/>
      <c r="Z563" s="69"/>
      <c r="AA563" s="69"/>
      <c r="AB563" s="69"/>
    </row>
    <row r="564" spans="1:28"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69"/>
      <c r="Y564" s="69"/>
      <c r="Z564" s="69"/>
      <c r="AA564" s="69"/>
      <c r="AB564" s="69"/>
    </row>
    <row r="565" spans="1:28"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69"/>
      <c r="Y565" s="69"/>
      <c r="Z565" s="69"/>
      <c r="AA565" s="69"/>
      <c r="AB565" s="69"/>
    </row>
    <row r="566" spans="1:28"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69"/>
      <c r="Y566" s="69"/>
      <c r="Z566" s="69"/>
      <c r="AA566" s="69"/>
      <c r="AB566" s="69"/>
    </row>
    <row r="567" spans="1:28"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69"/>
      <c r="Y567" s="69"/>
      <c r="Z567" s="69"/>
      <c r="AA567" s="69"/>
      <c r="AB567" s="69"/>
    </row>
    <row r="568" spans="1:28"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69"/>
      <c r="Y568" s="69"/>
      <c r="Z568" s="69"/>
      <c r="AA568" s="69"/>
      <c r="AB568" s="69"/>
    </row>
    <row r="569" spans="1:28"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69"/>
      <c r="Y569" s="69"/>
      <c r="Z569" s="69"/>
      <c r="AA569" s="69"/>
      <c r="AB569" s="69"/>
    </row>
    <row r="570" spans="1:28"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69"/>
      <c r="Y570" s="69"/>
      <c r="Z570" s="69"/>
      <c r="AA570" s="69"/>
      <c r="AB570" s="69"/>
    </row>
    <row r="571" spans="1:28"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69"/>
      <c r="Y571" s="69"/>
      <c r="Z571" s="69"/>
      <c r="AA571" s="69"/>
      <c r="AB571" s="69"/>
    </row>
    <row r="572" spans="1:28"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69"/>
      <c r="Y572" s="69"/>
      <c r="Z572" s="69"/>
      <c r="AA572" s="69"/>
      <c r="AB572" s="69"/>
    </row>
    <row r="573" spans="1:28"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69"/>
      <c r="Y573" s="69"/>
      <c r="Z573" s="69"/>
      <c r="AA573" s="69"/>
      <c r="AB573" s="69"/>
    </row>
    <row r="574" spans="1:28"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69"/>
      <c r="Y574" s="69"/>
      <c r="Z574" s="69"/>
      <c r="AA574" s="69"/>
      <c r="AB574" s="69"/>
    </row>
    <row r="575" spans="1:28"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69"/>
      <c r="Y575" s="69"/>
      <c r="Z575" s="69"/>
      <c r="AA575" s="69"/>
      <c r="AB575" s="69"/>
    </row>
    <row r="576" spans="1:28"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69"/>
      <c r="Y576" s="69"/>
      <c r="Z576" s="69"/>
      <c r="AA576" s="69"/>
      <c r="AB576" s="69"/>
    </row>
    <row r="577" spans="1:28"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69"/>
      <c r="Y577" s="69"/>
      <c r="Z577" s="69"/>
      <c r="AA577" s="69"/>
      <c r="AB577" s="69"/>
    </row>
    <row r="578" spans="1:28"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69"/>
      <c r="Y578" s="69"/>
      <c r="Z578" s="69"/>
      <c r="AA578" s="69"/>
      <c r="AB578" s="69"/>
    </row>
    <row r="579" spans="1:28"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69"/>
      <c r="Y579" s="69"/>
      <c r="Z579" s="69"/>
      <c r="AA579" s="69"/>
      <c r="AB579" s="69"/>
    </row>
    <row r="580" spans="1:28"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69"/>
      <c r="Y580" s="69"/>
      <c r="Z580" s="69"/>
      <c r="AA580" s="69"/>
      <c r="AB580" s="69"/>
    </row>
    <row r="581" spans="1:28"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69"/>
      <c r="Y581" s="69"/>
      <c r="Z581" s="69"/>
      <c r="AA581" s="69"/>
      <c r="AB581" s="69"/>
    </row>
    <row r="582" spans="1:28"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69"/>
      <c r="Y582" s="69"/>
      <c r="Z582" s="69"/>
      <c r="AA582" s="69"/>
      <c r="AB582" s="69"/>
    </row>
    <row r="583" spans="1:28"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69"/>
      <c r="Y583" s="69"/>
      <c r="Z583" s="69"/>
      <c r="AA583" s="69"/>
      <c r="AB583" s="69"/>
    </row>
    <row r="584" spans="1:28"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69"/>
      <c r="Y584" s="69"/>
      <c r="Z584" s="69"/>
      <c r="AA584" s="69"/>
      <c r="AB584" s="69"/>
    </row>
    <row r="585" spans="1:28"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69"/>
      <c r="Y585" s="69"/>
      <c r="Z585" s="69"/>
      <c r="AA585" s="69"/>
      <c r="AB585" s="69"/>
    </row>
    <row r="586" spans="1:28"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69"/>
      <c r="Y586" s="69"/>
      <c r="Z586" s="69"/>
      <c r="AA586" s="69"/>
      <c r="AB586" s="69"/>
    </row>
    <row r="587" spans="1:28"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69"/>
      <c r="Y587" s="69"/>
      <c r="Z587" s="69"/>
      <c r="AA587" s="69"/>
      <c r="AB587" s="69"/>
    </row>
    <row r="588" spans="1:28"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69"/>
      <c r="Y588" s="69"/>
      <c r="Z588" s="69"/>
      <c r="AA588" s="69"/>
      <c r="AB588" s="69"/>
    </row>
    <row r="589" spans="1:28"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69"/>
      <c r="Y589" s="69"/>
      <c r="Z589" s="69"/>
      <c r="AA589" s="69"/>
      <c r="AB589" s="69"/>
    </row>
    <row r="590" spans="1:28"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69"/>
      <c r="Y590" s="69"/>
      <c r="Z590" s="69"/>
      <c r="AA590" s="69"/>
      <c r="AB590" s="69"/>
    </row>
    <row r="591" spans="1:28"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69"/>
      <c r="Y591" s="69"/>
      <c r="Z591" s="69"/>
      <c r="AA591" s="69"/>
      <c r="AB591" s="69"/>
    </row>
    <row r="592" spans="1:28"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69"/>
      <c r="Y592" s="69"/>
      <c r="Z592" s="69"/>
      <c r="AA592" s="69"/>
      <c r="AB592" s="69"/>
    </row>
    <row r="593" spans="1:28"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69"/>
      <c r="Y593" s="69"/>
      <c r="Z593" s="69"/>
      <c r="AA593" s="69"/>
      <c r="AB593" s="69"/>
    </row>
    <row r="594" spans="1:28"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69"/>
      <c r="Y594" s="69"/>
      <c r="Z594" s="69"/>
      <c r="AA594" s="69"/>
      <c r="AB594" s="69"/>
    </row>
    <row r="595" spans="1:28"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69"/>
      <c r="Y595" s="69"/>
      <c r="Z595" s="69"/>
      <c r="AA595" s="69"/>
      <c r="AB595" s="69"/>
    </row>
    <row r="596" spans="1:28"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69"/>
      <c r="Y596" s="69"/>
      <c r="Z596" s="69"/>
      <c r="AA596" s="69"/>
      <c r="AB596" s="69"/>
    </row>
    <row r="597" spans="1:28"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69"/>
      <c r="Y597" s="69"/>
      <c r="Z597" s="69"/>
      <c r="AA597" s="69"/>
      <c r="AB597" s="69"/>
    </row>
    <row r="598" spans="1:28"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69"/>
      <c r="Y598" s="69"/>
      <c r="Z598" s="69"/>
      <c r="AA598" s="69"/>
      <c r="AB598" s="69"/>
    </row>
    <row r="599" spans="1:28"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69"/>
      <c r="Y599" s="69"/>
      <c r="Z599" s="69"/>
      <c r="AA599" s="69"/>
      <c r="AB599" s="69"/>
    </row>
    <row r="600" spans="1:28"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69"/>
      <c r="Y600" s="69"/>
      <c r="Z600" s="69"/>
      <c r="AA600" s="69"/>
      <c r="AB600" s="69"/>
    </row>
    <row r="601" spans="1:28"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69"/>
      <c r="Y601" s="69"/>
      <c r="Z601" s="69"/>
      <c r="AA601" s="69"/>
      <c r="AB601" s="69"/>
    </row>
    <row r="602" spans="1:28"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69"/>
      <c r="Y602" s="69"/>
      <c r="Z602" s="69"/>
      <c r="AA602" s="69"/>
      <c r="AB602" s="69"/>
    </row>
    <row r="603" spans="1:28"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69"/>
      <c r="Y603" s="69"/>
      <c r="Z603" s="69"/>
      <c r="AA603" s="69"/>
      <c r="AB603" s="69"/>
    </row>
    <row r="604" spans="1:28"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69"/>
      <c r="Y604" s="69"/>
      <c r="Z604" s="69"/>
      <c r="AA604" s="69"/>
      <c r="AB604" s="69"/>
    </row>
    <row r="605" spans="1:28"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69"/>
      <c r="Y605" s="69"/>
      <c r="Z605" s="69"/>
      <c r="AA605" s="69"/>
      <c r="AB605" s="69"/>
    </row>
    <row r="606" spans="1:28"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69"/>
      <c r="Y606" s="69"/>
      <c r="Z606" s="69"/>
      <c r="AA606" s="69"/>
      <c r="AB606" s="69"/>
    </row>
    <row r="607" spans="1:28"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69"/>
      <c r="Y607" s="69"/>
      <c r="Z607" s="69"/>
      <c r="AA607" s="69"/>
      <c r="AB607" s="69"/>
    </row>
    <row r="608" spans="1:28"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69"/>
      <c r="Y608" s="69"/>
      <c r="Z608" s="69"/>
      <c r="AA608" s="69"/>
      <c r="AB608" s="69"/>
    </row>
    <row r="609" spans="1:28"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69"/>
      <c r="Y609" s="69"/>
      <c r="Z609" s="69"/>
      <c r="AA609" s="69"/>
      <c r="AB609" s="69"/>
    </row>
    <row r="610" spans="1:28"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69"/>
      <c r="Y610" s="69"/>
      <c r="Z610" s="69"/>
      <c r="AA610" s="69"/>
      <c r="AB610" s="69"/>
    </row>
    <row r="611" spans="1:28"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69"/>
      <c r="Y611" s="69"/>
      <c r="Z611" s="69"/>
      <c r="AA611" s="69"/>
      <c r="AB611" s="69"/>
    </row>
    <row r="612" spans="1:28"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69"/>
      <c r="Y612" s="69"/>
      <c r="Z612" s="69"/>
      <c r="AA612" s="69"/>
      <c r="AB612" s="69"/>
    </row>
    <row r="613" spans="1:28"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69"/>
      <c r="Y613" s="69"/>
      <c r="Z613" s="69"/>
      <c r="AA613" s="69"/>
      <c r="AB613" s="69"/>
    </row>
    <row r="614" spans="1:28"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69"/>
      <c r="Y614" s="69"/>
      <c r="Z614" s="69"/>
      <c r="AA614" s="69"/>
      <c r="AB614" s="69"/>
    </row>
    <row r="615" spans="1:28"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69"/>
      <c r="Y615" s="69"/>
      <c r="Z615" s="69"/>
      <c r="AA615" s="69"/>
      <c r="AB615" s="69"/>
    </row>
    <row r="616" spans="1:28"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69"/>
      <c r="Y616" s="69"/>
      <c r="Z616" s="69"/>
      <c r="AA616" s="69"/>
      <c r="AB616" s="69"/>
    </row>
    <row r="617" spans="1:28"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69"/>
      <c r="Y617" s="69"/>
      <c r="Z617" s="69"/>
      <c r="AA617" s="69"/>
      <c r="AB617" s="69"/>
    </row>
    <row r="618" spans="1:28"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69"/>
      <c r="Y618" s="69"/>
      <c r="Z618" s="69"/>
      <c r="AA618" s="69"/>
      <c r="AB618" s="69"/>
    </row>
    <row r="619" spans="1:28"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69"/>
      <c r="Y619" s="69"/>
      <c r="Z619" s="69"/>
      <c r="AA619" s="69"/>
      <c r="AB619" s="69"/>
    </row>
    <row r="620" spans="1:28"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69"/>
      <c r="Y620" s="69"/>
      <c r="Z620" s="69"/>
      <c r="AA620" s="69"/>
      <c r="AB620" s="69"/>
    </row>
    <row r="621" spans="1:28"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69"/>
      <c r="Y621" s="69"/>
      <c r="Z621" s="69"/>
      <c r="AA621" s="69"/>
      <c r="AB621" s="69"/>
    </row>
    <row r="622" spans="1:28"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69"/>
      <c r="Y622" s="69"/>
      <c r="Z622" s="69"/>
      <c r="AA622" s="69"/>
      <c r="AB622" s="69"/>
    </row>
    <row r="623" spans="1:28"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69"/>
      <c r="Y623" s="69"/>
      <c r="Z623" s="69"/>
      <c r="AA623" s="69"/>
      <c r="AB623" s="69"/>
    </row>
    <row r="624" spans="1:28"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69"/>
      <c r="Y624" s="69"/>
      <c r="Z624" s="69"/>
      <c r="AA624" s="69"/>
      <c r="AB624" s="69"/>
    </row>
    <row r="625" spans="1:28"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69"/>
      <c r="Y625" s="69"/>
      <c r="Z625" s="69"/>
      <c r="AA625" s="69"/>
      <c r="AB625" s="69"/>
    </row>
    <row r="626" spans="1:28"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69"/>
      <c r="Y626" s="69"/>
      <c r="Z626" s="69"/>
      <c r="AA626" s="69"/>
      <c r="AB626" s="69"/>
    </row>
    <row r="627" spans="1:28"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69"/>
      <c r="Y627" s="69"/>
      <c r="Z627" s="69"/>
      <c r="AA627" s="69"/>
      <c r="AB627" s="69"/>
    </row>
    <row r="628" spans="1:28"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69"/>
      <c r="Y628" s="69"/>
      <c r="Z628" s="69"/>
      <c r="AA628" s="69"/>
      <c r="AB628" s="69"/>
    </row>
    <row r="629" spans="1:28"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69"/>
      <c r="Y629" s="69"/>
      <c r="Z629" s="69"/>
      <c r="AA629" s="69"/>
      <c r="AB629" s="69"/>
    </row>
    <row r="630" spans="1:28"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69"/>
      <c r="Y630" s="69"/>
      <c r="Z630" s="69"/>
      <c r="AA630" s="69"/>
      <c r="AB630" s="69"/>
    </row>
    <row r="631" spans="1:28"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69"/>
      <c r="Y631" s="69"/>
      <c r="Z631" s="69"/>
      <c r="AA631" s="69"/>
      <c r="AB631" s="69"/>
    </row>
    <row r="632" spans="1:28"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69"/>
      <c r="Y632" s="69"/>
      <c r="Z632" s="69"/>
      <c r="AA632" s="69"/>
      <c r="AB632" s="69"/>
    </row>
    <row r="633" spans="1:28"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69"/>
      <c r="Y633" s="69"/>
      <c r="Z633" s="69"/>
      <c r="AA633" s="69"/>
      <c r="AB633" s="69"/>
    </row>
    <row r="634" spans="1:28"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69"/>
      <c r="Y634" s="69"/>
      <c r="Z634" s="69"/>
      <c r="AA634" s="69"/>
      <c r="AB634" s="69"/>
    </row>
    <row r="635" spans="1:28"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69"/>
      <c r="Y635" s="69"/>
      <c r="Z635" s="69"/>
      <c r="AA635" s="69"/>
      <c r="AB635" s="69"/>
    </row>
    <row r="636" spans="1:28"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69"/>
      <c r="Y636" s="69"/>
      <c r="Z636" s="69"/>
      <c r="AA636" s="69"/>
      <c r="AB636" s="69"/>
    </row>
    <row r="637" spans="1:28"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69"/>
      <c r="Y637" s="69"/>
      <c r="Z637" s="69"/>
      <c r="AA637" s="69"/>
      <c r="AB637" s="69"/>
    </row>
    <row r="638" spans="1:28"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69"/>
      <c r="Y638" s="69"/>
      <c r="Z638" s="69"/>
      <c r="AA638" s="69"/>
      <c r="AB638" s="69"/>
    </row>
    <row r="639" spans="1:28"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69"/>
      <c r="Y639" s="69"/>
      <c r="Z639" s="69"/>
      <c r="AA639" s="69"/>
      <c r="AB639" s="69"/>
    </row>
    <row r="640" spans="1:28"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69"/>
      <c r="Y640" s="69"/>
      <c r="Z640" s="69"/>
      <c r="AA640" s="69"/>
      <c r="AB640" s="69"/>
    </row>
    <row r="641" spans="1:28"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69"/>
      <c r="Y641" s="69"/>
      <c r="Z641" s="69"/>
      <c r="AA641" s="69"/>
      <c r="AB641" s="69"/>
    </row>
    <row r="642" spans="1:28"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69"/>
      <c r="Y642" s="69"/>
      <c r="Z642" s="69"/>
      <c r="AA642" s="69"/>
      <c r="AB642" s="69"/>
    </row>
    <row r="643" spans="1:28"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69"/>
      <c r="Y643" s="69"/>
      <c r="Z643" s="69"/>
      <c r="AA643" s="69"/>
      <c r="AB643" s="69"/>
    </row>
    <row r="644" spans="1:28"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69"/>
      <c r="Y644" s="69"/>
      <c r="Z644" s="69"/>
      <c r="AA644" s="69"/>
      <c r="AB644" s="69"/>
    </row>
    <row r="645" spans="1:28"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69"/>
      <c r="Y645" s="69"/>
      <c r="Z645" s="69"/>
      <c r="AA645" s="69"/>
      <c r="AB645" s="69"/>
    </row>
    <row r="646" spans="1:28"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69"/>
      <c r="Y646" s="69"/>
      <c r="Z646" s="69"/>
      <c r="AA646" s="69"/>
      <c r="AB646" s="69"/>
    </row>
    <row r="647" spans="1:28"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69"/>
      <c r="Y647" s="69"/>
      <c r="Z647" s="69"/>
      <c r="AA647" s="69"/>
      <c r="AB647" s="69"/>
    </row>
    <row r="648" spans="1:28"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69"/>
      <c r="Y648" s="69"/>
      <c r="Z648" s="69"/>
      <c r="AA648" s="69"/>
      <c r="AB648" s="69"/>
    </row>
    <row r="649" spans="1:28"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69"/>
      <c r="Y649" s="69"/>
      <c r="Z649" s="69"/>
      <c r="AA649" s="69"/>
      <c r="AB649" s="69"/>
    </row>
    <row r="650" spans="1:28"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69"/>
      <c r="Y650" s="69"/>
      <c r="Z650" s="69"/>
      <c r="AA650" s="69"/>
      <c r="AB650" s="69"/>
    </row>
    <row r="651" spans="1:28"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69"/>
      <c r="Y651" s="69"/>
      <c r="Z651" s="69"/>
      <c r="AA651" s="69"/>
      <c r="AB651" s="69"/>
    </row>
    <row r="652" spans="1:28"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69"/>
      <c r="Y652" s="69"/>
      <c r="Z652" s="69"/>
      <c r="AA652" s="69"/>
      <c r="AB652" s="69"/>
    </row>
    <row r="653" spans="1:28"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69"/>
      <c r="Y653" s="69"/>
      <c r="Z653" s="69"/>
      <c r="AA653" s="69"/>
      <c r="AB653" s="69"/>
    </row>
    <row r="654" spans="1:28"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69"/>
      <c r="Y654" s="69"/>
      <c r="Z654" s="69"/>
      <c r="AA654" s="69"/>
      <c r="AB654" s="69"/>
    </row>
    <row r="655" spans="1:28"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69"/>
      <c r="Y655" s="69"/>
      <c r="Z655" s="69"/>
      <c r="AA655" s="69"/>
      <c r="AB655" s="69"/>
    </row>
    <row r="656" spans="1:28"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69"/>
      <c r="Y656" s="69"/>
      <c r="Z656" s="69"/>
      <c r="AA656" s="69"/>
      <c r="AB656" s="69"/>
    </row>
    <row r="657" spans="1:28"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69"/>
      <c r="Y657" s="69"/>
      <c r="Z657" s="69"/>
      <c r="AA657" s="69"/>
      <c r="AB657" s="69"/>
    </row>
    <row r="658" spans="1:28"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69"/>
      <c r="Y658" s="69"/>
      <c r="Z658" s="69"/>
      <c r="AA658" s="69"/>
      <c r="AB658" s="69"/>
    </row>
    <row r="659" spans="1:28"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69"/>
      <c r="Y659" s="69"/>
      <c r="Z659" s="69"/>
      <c r="AA659" s="69"/>
      <c r="AB659" s="69"/>
    </row>
    <row r="660" spans="1:28"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69"/>
      <c r="Y660" s="69"/>
      <c r="Z660" s="69"/>
      <c r="AA660" s="69"/>
      <c r="AB660" s="69"/>
    </row>
    <row r="661" spans="1:28"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69"/>
      <c r="Y661" s="69"/>
      <c r="Z661" s="69"/>
      <c r="AA661" s="69"/>
      <c r="AB661" s="69"/>
    </row>
    <row r="662" spans="1:28"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69"/>
      <c r="Y662" s="69"/>
      <c r="Z662" s="69"/>
      <c r="AA662" s="69"/>
      <c r="AB662" s="69"/>
    </row>
    <row r="663" spans="1:28"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69"/>
      <c r="Y663" s="69"/>
      <c r="Z663" s="69"/>
      <c r="AA663" s="69"/>
      <c r="AB663" s="69"/>
    </row>
    <row r="664" spans="1:28"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69"/>
      <c r="Y664" s="69"/>
      <c r="Z664" s="69"/>
      <c r="AA664" s="69"/>
      <c r="AB664" s="69"/>
    </row>
    <row r="665" spans="1:28"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69"/>
      <c r="Y665" s="69"/>
      <c r="Z665" s="69"/>
      <c r="AA665" s="69"/>
      <c r="AB665" s="69"/>
    </row>
    <row r="666" spans="1:28"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69"/>
      <c r="Y666" s="69"/>
      <c r="Z666" s="69"/>
      <c r="AA666" s="69"/>
      <c r="AB666" s="69"/>
    </row>
    <row r="667" spans="1:28"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69"/>
      <c r="Y667" s="69"/>
      <c r="Z667" s="69"/>
      <c r="AA667" s="69"/>
      <c r="AB667" s="69"/>
    </row>
    <row r="668" spans="1:28"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69"/>
      <c r="Y668" s="69"/>
      <c r="Z668" s="69"/>
      <c r="AA668" s="69"/>
      <c r="AB668" s="69"/>
    </row>
    <row r="669" spans="1:28"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69"/>
      <c r="Y669" s="69"/>
      <c r="Z669" s="69"/>
      <c r="AA669" s="69"/>
      <c r="AB669" s="69"/>
    </row>
    <row r="670" spans="1:28"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69"/>
      <c r="Y670" s="69"/>
      <c r="Z670" s="69"/>
      <c r="AA670" s="69"/>
      <c r="AB670" s="69"/>
    </row>
    <row r="671" spans="1:28"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69"/>
      <c r="Y671" s="69"/>
      <c r="Z671" s="69"/>
      <c r="AA671" s="69"/>
      <c r="AB671" s="69"/>
    </row>
    <row r="672" spans="1:28"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69"/>
      <c r="Y672" s="69"/>
      <c r="Z672" s="69"/>
      <c r="AA672" s="69"/>
      <c r="AB672" s="69"/>
    </row>
    <row r="673" spans="1:28"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69"/>
      <c r="Y673" s="69"/>
      <c r="Z673" s="69"/>
      <c r="AA673" s="69"/>
      <c r="AB673" s="69"/>
    </row>
    <row r="674" spans="1:28"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69"/>
      <c r="Y674" s="69"/>
      <c r="Z674" s="69"/>
      <c r="AA674" s="69"/>
      <c r="AB674" s="69"/>
    </row>
    <row r="675" spans="1:28"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69"/>
      <c r="Y675" s="69"/>
      <c r="Z675" s="69"/>
      <c r="AA675" s="69"/>
      <c r="AB675" s="69"/>
    </row>
    <row r="676" spans="1:28"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69"/>
      <c r="Y676" s="69"/>
      <c r="Z676" s="69"/>
      <c r="AA676" s="69"/>
      <c r="AB676" s="69"/>
    </row>
    <row r="677" spans="1:28"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69"/>
      <c r="Y677" s="69"/>
      <c r="Z677" s="69"/>
      <c r="AA677" s="69"/>
      <c r="AB677" s="69"/>
    </row>
    <row r="678" spans="1:28"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69"/>
      <c r="Y678" s="69"/>
      <c r="Z678" s="69"/>
      <c r="AA678" s="69"/>
      <c r="AB678" s="69"/>
    </row>
    <row r="679" spans="1:28"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69"/>
      <c r="Y679" s="69"/>
      <c r="Z679" s="69"/>
      <c r="AA679" s="69"/>
      <c r="AB679" s="69"/>
    </row>
    <row r="680" spans="1:28"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69"/>
      <c r="Y680" s="69"/>
      <c r="Z680" s="69"/>
      <c r="AA680" s="69"/>
      <c r="AB680" s="69"/>
    </row>
    <row r="681" spans="1:28"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69"/>
      <c r="Y681" s="69"/>
      <c r="Z681" s="69"/>
      <c r="AA681" s="69"/>
      <c r="AB681" s="69"/>
    </row>
    <row r="682" spans="1:28"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69"/>
      <c r="Y682" s="69"/>
      <c r="Z682" s="69"/>
      <c r="AA682" s="69"/>
      <c r="AB682" s="69"/>
    </row>
    <row r="683" spans="1:28"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69"/>
      <c r="Y683" s="69"/>
      <c r="Z683" s="69"/>
      <c r="AA683" s="69"/>
      <c r="AB683" s="69"/>
    </row>
    <row r="684" spans="1:28"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69"/>
      <c r="Y684" s="69"/>
      <c r="Z684" s="69"/>
      <c r="AA684" s="69"/>
      <c r="AB684" s="69"/>
    </row>
    <row r="685" spans="1:28"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69"/>
      <c r="Y685" s="69"/>
      <c r="Z685" s="69"/>
      <c r="AA685" s="69"/>
      <c r="AB685" s="69"/>
    </row>
    <row r="686" spans="1:28"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69"/>
      <c r="Y686" s="69"/>
      <c r="Z686" s="69"/>
      <c r="AA686" s="69"/>
      <c r="AB686" s="69"/>
    </row>
    <row r="687" spans="1:28"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69"/>
      <c r="Y687" s="69"/>
      <c r="Z687" s="69"/>
      <c r="AA687" s="69"/>
      <c r="AB687" s="69"/>
    </row>
    <row r="688" spans="1:28"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69"/>
      <c r="Y688" s="69"/>
      <c r="Z688" s="69"/>
      <c r="AA688" s="69"/>
      <c r="AB688" s="69"/>
    </row>
    <row r="689" spans="1:28"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69"/>
      <c r="Y689" s="69"/>
      <c r="Z689" s="69"/>
      <c r="AA689" s="69"/>
      <c r="AB689" s="69"/>
    </row>
    <row r="690" spans="1:28"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69"/>
      <c r="Y690" s="69"/>
      <c r="Z690" s="69"/>
      <c r="AA690" s="69"/>
      <c r="AB690" s="69"/>
    </row>
    <row r="691" spans="1:28"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69"/>
      <c r="Y691" s="69"/>
      <c r="Z691" s="69"/>
      <c r="AA691" s="69"/>
      <c r="AB691" s="69"/>
    </row>
    <row r="692" spans="1:28"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69"/>
      <c r="Y692" s="69"/>
      <c r="Z692" s="69"/>
      <c r="AA692" s="69"/>
      <c r="AB692" s="69"/>
    </row>
    <row r="693" spans="1:28"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69"/>
      <c r="Y693" s="69"/>
      <c r="Z693" s="69"/>
      <c r="AA693" s="69"/>
      <c r="AB693" s="69"/>
    </row>
    <row r="694" spans="1:28"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69"/>
      <c r="Y694" s="69"/>
      <c r="Z694" s="69"/>
      <c r="AA694" s="69"/>
      <c r="AB694" s="69"/>
    </row>
    <row r="695" spans="1:28"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69"/>
      <c r="Y695" s="69"/>
      <c r="Z695" s="69"/>
      <c r="AA695" s="69"/>
      <c r="AB695" s="69"/>
    </row>
    <row r="696" spans="1:28"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69"/>
      <c r="Y696" s="69"/>
      <c r="Z696" s="69"/>
      <c r="AA696" s="69"/>
      <c r="AB696" s="69"/>
    </row>
    <row r="697" spans="1:28"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69"/>
      <c r="Y697" s="69"/>
      <c r="Z697" s="69"/>
      <c r="AA697" s="69"/>
      <c r="AB697" s="69"/>
    </row>
    <row r="698" spans="1:28"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69"/>
      <c r="Y698" s="69"/>
      <c r="Z698" s="69"/>
      <c r="AA698" s="69"/>
      <c r="AB698" s="69"/>
    </row>
    <row r="699" spans="1:28"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69"/>
      <c r="Y699" s="69"/>
      <c r="Z699" s="69"/>
      <c r="AA699" s="69"/>
      <c r="AB699" s="69"/>
    </row>
    <row r="700" spans="1:28"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69"/>
      <c r="Y700" s="69"/>
      <c r="Z700" s="69"/>
      <c r="AA700" s="69"/>
      <c r="AB700" s="69"/>
    </row>
    <row r="701" spans="1:28"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69"/>
      <c r="Y701" s="69"/>
      <c r="Z701" s="69"/>
      <c r="AA701" s="69"/>
      <c r="AB701" s="69"/>
    </row>
    <row r="702" spans="1:28"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69"/>
      <c r="Y702" s="69"/>
      <c r="Z702" s="69"/>
      <c r="AA702" s="69"/>
      <c r="AB702" s="69"/>
    </row>
    <row r="703" spans="1:28"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69"/>
      <c r="Y703" s="69"/>
      <c r="Z703" s="69"/>
      <c r="AA703" s="69"/>
      <c r="AB703" s="69"/>
    </row>
    <row r="704" spans="1:28"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69"/>
      <c r="Y704" s="69"/>
      <c r="Z704" s="69"/>
      <c r="AA704" s="69"/>
      <c r="AB704" s="69"/>
    </row>
    <row r="705" spans="1:28"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69"/>
      <c r="Y705" s="69"/>
      <c r="Z705" s="69"/>
      <c r="AA705" s="69"/>
      <c r="AB705" s="69"/>
    </row>
    <row r="706" spans="1:28"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69"/>
      <c r="Y706" s="69"/>
      <c r="Z706" s="69"/>
      <c r="AA706" s="69"/>
      <c r="AB706" s="69"/>
    </row>
    <row r="707" spans="1:28"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69"/>
      <c r="Y707" s="69"/>
      <c r="Z707" s="69"/>
      <c r="AA707" s="69"/>
      <c r="AB707" s="69"/>
    </row>
    <row r="708" spans="1:28"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69"/>
      <c r="Y708" s="69"/>
      <c r="Z708" s="69"/>
      <c r="AA708" s="69"/>
      <c r="AB708" s="69"/>
    </row>
    <row r="709" spans="1:28"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69"/>
      <c r="Y709" s="69"/>
      <c r="Z709" s="69"/>
      <c r="AA709" s="69"/>
      <c r="AB709" s="69"/>
    </row>
    <row r="710" spans="1:28"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69"/>
      <c r="Y710" s="69"/>
      <c r="Z710" s="69"/>
      <c r="AA710" s="69"/>
      <c r="AB710" s="69"/>
    </row>
    <row r="711" spans="1:28"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69"/>
      <c r="Y711" s="69"/>
      <c r="Z711" s="69"/>
      <c r="AA711" s="69"/>
      <c r="AB711" s="69"/>
    </row>
    <row r="712" spans="1:28"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69"/>
      <c r="Y712" s="69"/>
      <c r="Z712" s="69"/>
      <c r="AA712" s="69"/>
      <c r="AB712" s="69"/>
    </row>
    <row r="713" spans="1:28"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69"/>
      <c r="Y713" s="69"/>
      <c r="Z713" s="69"/>
      <c r="AA713" s="69"/>
      <c r="AB713" s="69"/>
    </row>
    <row r="714" spans="1:28"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69"/>
      <c r="Y714" s="69"/>
      <c r="Z714" s="69"/>
      <c r="AA714" s="69"/>
      <c r="AB714" s="69"/>
    </row>
    <row r="715" spans="1:28"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69"/>
      <c r="Y715" s="69"/>
      <c r="Z715" s="69"/>
      <c r="AA715" s="69"/>
      <c r="AB715" s="69"/>
    </row>
    <row r="716" spans="1:28"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69"/>
      <c r="Y716" s="69"/>
      <c r="Z716" s="69"/>
      <c r="AA716" s="69"/>
      <c r="AB716" s="69"/>
    </row>
    <row r="717" spans="1:28"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69"/>
      <c r="Y717" s="69"/>
      <c r="Z717" s="69"/>
      <c r="AA717" s="69"/>
      <c r="AB717" s="69"/>
    </row>
    <row r="718" spans="1:28"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69"/>
      <c r="Y718" s="69"/>
      <c r="Z718" s="69"/>
      <c r="AA718" s="69"/>
      <c r="AB718" s="69"/>
    </row>
    <row r="719" spans="1:28"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69"/>
      <c r="Y719" s="69"/>
      <c r="Z719" s="69"/>
      <c r="AA719" s="69"/>
      <c r="AB719" s="69"/>
    </row>
    <row r="720" spans="1:28"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69"/>
      <c r="Y720" s="69"/>
      <c r="Z720" s="69"/>
      <c r="AA720" s="69"/>
      <c r="AB720" s="69"/>
    </row>
    <row r="721" spans="1:28"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69"/>
      <c r="Y721" s="69"/>
      <c r="Z721" s="69"/>
      <c r="AA721" s="69"/>
      <c r="AB721" s="69"/>
    </row>
    <row r="722" spans="1:28"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69"/>
      <c r="Y722" s="69"/>
      <c r="Z722" s="69"/>
      <c r="AA722" s="69"/>
      <c r="AB722" s="69"/>
    </row>
    <row r="723" spans="1:28"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69"/>
      <c r="Y723" s="69"/>
      <c r="Z723" s="69"/>
      <c r="AA723" s="69"/>
      <c r="AB723" s="69"/>
    </row>
    <row r="724" spans="1:28"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69"/>
      <c r="Y724" s="69"/>
      <c r="Z724" s="69"/>
      <c r="AA724" s="69"/>
      <c r="AB724" s="69"/>
    </row>
    <row r="725" spans="1:28"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69"/>
      <c r="Y725" s="69"/>
      <c r="Z725" s="69"/>
      <c r="AA725" s="69"/>
      <c r="AB725" s="69"/>
    </row>
    <row r="726" spans="1:28"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69"/>
      <c r="Y726" s="69"/>
      <c r="Z726" s="69"/>
      <c r="AA726" s="69"/>
      <c r="AB726" s="69"/>
    </row>
    <row r="727" spans="1:28"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69"/>
      <c r="Y727" s="69"/>
      <c r="Z727" s="69"/>
      <c r="AA727" s="69"/>
      <c r="AB727" s="69"/>
    </row>
    <row r="728" spans="1:28"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69"/>
      <c r="Y728" s="69"/>
      <c r="Z728" s="69"/>
      <c r="AA728" s="69"/>
      <c r="AB728" s="69"/>
    </row>
    <row r="729" spans="1:28"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69"/>
      <c r="Y729" s="69"/>
      <c r="Z729" s="69"/>
      <c r="AA729" s="69"/>
      <c r="AB729" s="69"/>
    </row>
    <row r="730" spans="1:28"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69"/>
      <c r="Y730" s="69"/>
      <c r="Z730" s="69"/>
      <c r="AA730" s="69"/>
      <c r="AB730" s="69"/>
    </row>
    <row r="731" spans="1:28"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69"/>
      <c r="Y731" s="69"/>
      <c r="Z731" s="69"/>
      <c r="AA731" s="69"/>
      <c r="AB731" s="69"/>
    </row>
    <row r="732" spans="1:28"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69"/>
      <c r="Y732" s="69"/>
      <c r="Z732" s="69"/>
      <c r="AA732" s="69"/>
      <c r="AB732" s="69"/>
    </row>
    <row r="733" spans="1:28"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69"/>
      <c r="Y733" s="69"/>
      <c r="Z733" s="69"/>
      <c r="AA733" s="69"/>
      <c r="AB733" s="69"/>
    </row>
    <row r="734" spans="1:28"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69"/>
      <c r="Y734" s="69"/>
      <c r="Z734" s="69"/>
      <c r="AA734" s="69"/>
      <c r="AB734" s="69"/>
    </row>
    <row r="735" spans="1:28"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69"/>
      <c r="Y735" s="69"/>
      <c r="Z735" s="69"/>
      <c r="AA735" s="69"/>
      <c r="AB735" s="69"/>
    </row>
    <row r="736" spans="1:28"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69"/>
      <c r="Y736" s="69"/>
      <c r="Z736" s="69"/>
      <c r="AA736" s="69"/>
      <c r="AB736" s="69"/>
    </row>
    <row r="737" spans="1:28"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69"/>
      <c r="Y737" s="69"/>
      <c r="Z737" s="69"/>
      <c r="AA737" s="69"/>
      <c r="AB737" s="69"/>
    </row>
    <row r="738" spans="1:28"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69"/>
      <c r="Y738" s="69"/>
      <c r="Z738" s="69"/>
      <c r="AA738" s="69"/>
      <c r="AB738" s="69"/>
    </row>
    <row r="739" spans="1:28"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69"/>
      <c r="Y739" s="69"/>
      <c r="Z739" s="69"/>
      <c r="AA739" s="69"/>
      <c r="AB739" s="69"/>
    </row>
    <row r="740" spans="1:28"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69"/>
      <c r="Y740" s="69"/>
      <c r="Z740" s="69"/>
      <c r="AA740" s="69"/>
      <c r="AB740" s="69"/>
    </row>
    <row r="741" spans="1:28"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69"/>
      <c r="Y741" s="69"/>
      <c r="Z741" s="69"/>
      <c r="AA741" s="69"/>
      <c r="AB741" s="69"/>
    </row>
    <row r="742" spans="1:28"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69"/>
      <c r="Y742" s="69"/>
      <c r="Z742" s="69"/>
      <c r="AA742" s="69"/>
      <c r="AB742" s="69"/>
    </row>
    <row r="743" spans="1:28"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69"/>
      <c r="Y743" s="69"/>
      <c r="Z743" s="69"/>
      <c r="AA743" s="69"/>
      <c r="AB743" s="69"/>
    </row>
    <row r="744" spans="1:28"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69"/>
      <c r="Y744" s="69"/>
      <c r="Z744" s="69"/>
      <c r="AA744" s="69"/>
      <c r="AB744" s="69"/>
    </row>
    <row r="745" spans="1:28"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69"/>
      <c r="Y745" s="69"/>
      <c r="Z745" s="69"/>
      <c r="AA745" s="69"/>
      <c r="AB745" s="69"/>
    </row>
    <row r="746" spans="1:28"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69"/>
      <c r="Y746" s="69"/>
      <c r="Z746" s="69"/>
      <c r="AA746" s="69"/>
      <c r="AB746" s="69"/>
    </row>
    <row r="747" spans="1:28"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69"/>
      <c r="Y747" s="69"/>
      <c r="Z747" s="69"/>
      <c r="AA747" s="69"/>
      <c r="AB747" s="69"/>
    </row>
    <row r="748" spans="1:28"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69"/>
      <c r="Y748" s="69"/>
      <c r="Z748" s="69"/>
      <c r="AA748" s="69"/>
      <c r="AB748" s="69"/>
    </row>
    <row r="749" spans="1:28"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69"/>
      <c r="Y749" s="69"/>
      <c r="Z749" s="69"/>
      <c r="AA749" s="69"/>
      <c r="AB749" s="69"/>
    </row>
    <row r="750" spans="1:28"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69"/>
      <c r="Y750" s="69"/>
      <c r="Z750" s="69"/>
      <c r="AA750" s="69"/>
      <c r="AB750" s="69"/>
    </row>
    <row r="751" spans="1:28"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69"/>
      <c r="Y751" s="69"/>
      <c r="Z751" s="69"/>
      <c r="AA751" s="69"/>
      <c r="AB751" s="69"/>
    </row>
    <row r="752" spans="1:28"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69"/>
      <c r="Y752" s="69"/>
      <c r="Z752" s="69"/>
      <c r="AA752" s="69"/>
      <c r="AB752" s="69"/>
    </row>
    <row r="753" spans="1:28"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69"/>
      <c r="Y753" s="69"/>
      <c r="Z753" s="69"/>
      <c r="AA753" s="69"/>
      <c r="AB753" s="69"/>
    </row>
    <row r="754" spans="1:28"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69"/>
      <c r="Y754" s="69"/>
      <c r="Z754" s="69"/>
      <c r="AA754" s="69"/>
      <c r="AB754" s="69"/>
    </row>
    <row r="755" spans="1:28"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69"/>
      <c r="Y755" s="69"/>
      <c r="Z755" s="69"/>
      <c r="AA755" s="69"/>
      <c r="AB755" s="69"/>
    </row>
    <row r="756" spans="1:28"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69"/>
      <c r="Y756" s="69"/>
      <c r="Z756" s="69"/>
      <c r="AA756" s="69"/>
      <c r="AB756" s="69"/>
    </row>
    <row r="757" spans="1:28"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69"/>
      <c r="Y757" s="69"/>
      <c r="Z757" s="69"/>
      <c r="AA757" s="69"/>
      <c r="AB757" s="69"/>
    </row>
    <row r="758" spans="1:28"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69"/>
      <c r="Y758" s="69"/>
      <c r="Z758" s="69"/>
      <c r="AA758" s="69"/>
      <c r="AB758" s="69"/>
    </row>
    <row r="759" spans="1:28"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69"/>
      <c r="Y759" s="69"/>
      <c r="Z759" s="69"/>
      <c r="AA759" s="69"/>
      <c r="AB759" s="69"/>
    </row>
    <row r="760" spans="1:28"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69"/>
      <c r="Y760" s="69"/>
      <c r="Z760" s="69"/>
      <c r="AA760" s="69"/>
      <c r="AB760" s="69"/>
    </row>
    <row r="761" spans="1:28"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69"/>
      <c r="Y761" s="69"/>
      <c r="Z761" s="69"/>
      <c r="AA761" s="69"/>
      <c r="AB761" s="69"/>
    </row>
    <row r="762" spans="1:28"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69"/>
      <c r="Y762" s="69"/>
      <c r="Z762" s="69"/>
      <c r="AA762" s="69"/>
      <c r="AB762" s="69"/>
    </row>
    <row r="763" spans="1:28"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69"/>
      <c r="Y763" s="69"/>
      <c r="Z763" s="69"/>
      <c r="AA763" s="69"/>
      <c r="AB763" s="69"/>
    </row>
    <row r="764" spans="1:28"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69"/>
      <c r="Y764" s="69"/>
      <c r="Z764" s="69"/>
      <c r="AA764" s="69"/>
      <c r="AB764" s="69"/>
    </row>
    <row r="765" spans="1:28"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69"/>
      <c r="Y765" s="69"/>
      <c r="Z765" s="69"/>
      <c r="AA765" s="69"/>
      <c r="AB765" s="69"/>
    </row>
    <row r="766" spans="1:28"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69"/>
      <c r="Y766" s="69"/>
      <c r="Z766" s="69"/>
      <c r="AA766" s="69"/>
      <c r="AB766" s="69"/>
    </row>
    <row r="767" spans="1:28"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69"/>
      <c r="Y767" s="69"/>
      <c r="Z767" s="69"/>
      <c r="AA767" s="69"/>
      <c r="AB767" s="69"/>
    </row>
    <row r="768" spans="1:28"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69"/>
      <c r="Y768" s="69"/>
      <c r="Z768" s="69"/>
      <c r="AA768" s="69"/>
      <c r="AB768" s="69"/>
    </row>
    <row r="769" spans="1:28"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69"/>
      <c r="Y769" s="69"/>
      <c r="Z769" s="69"/>
      <c r="AA769" s="69"/>
      <c r="AB769" s="69"/>
    </row>
    <row r="770" spans="1:28"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69"/>
      <c r="Y770" s="69"/>
      <c r="Z770" s="69"/>
      <c r="AA770" s="69"/>
      <c r="AB770" s="69"/>
    </row>
    <row r="771" spans="1:28"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69"/>
      <c r="Y771" s="69"/>
      <c r="Z771" s="69"/>
      <c r="AA771" s="69"/>
      <c r="AB771" s="69"/>
    </row>
    <row r="772" spans="1:28"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69"/>
      <c r="Y772" s="69"/>
      <c r="Z772" s="69"/>
      <c r="AA772" s="69"/>
      <c r="AB772" s="69"/>
    </row>
    <row r="773" spans="1:28"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69"/>
      <c r="Y773" s="69"/>
      <c r="Z773" s="69"/>
      <c r="AA773" s="69"/>
      <c r="AB773" s="69"/>
    </row>
    <row r="774" spans="1:28"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69"/>
      <c r="Y774" s="69"/>
      <c r="Z774" s="69"/>
      <c r="AA774" s="69"/>
      <c r="AB774" s="69"/>
    </row>
    <row r="775" spans="1:28"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69"/>
      <c r="Y775" s="69"/>
      <c r="Z775" s="69"/>
      <c r="AA775" s="69"/>
      <c r="AB775" s="69"/>
    </row>
    <row r="776" spans="1:28"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69"/>
      <c r="Y776" s="69"/>
      <c r="Z776" s="69"/>
      <c r="AA776" s="69"/>
      <c r="AB776" s="69"/>
    </row>
    <row r="777" spans="1:28"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69"/>
      <c r="Y777" s="69"/>
      <c r="Z777" s="69"/>
      <c r="AA777" s="69"/>
      <c r="AB777" s="69"/>
    </row>
    <row r="778" spans="1:28"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69"/>
      <c r="Y778" s="69"/>
      <c r="Z778" s="69"/>
      <c r="AA778" s="69"/>
      <c r="AB778" s="69"/>
    </row>
    <row r="779" spans="1:28"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69"/>
      <c r="Y779" s="69"/>
      <c r="Z779" s="69"/>
      <c r="AA779" s="69"/>
      <c r="AB779" s="69"/>
    </row>
    <row r="780" spans="1:28"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69"/>
      <c r="Y780" s="69"/>
      <c r="Z780" s="69"/>
      <c r="AA780" s="69"/>
      <c r="AB780" s="69"/>
    </row>
    <row r="781" spans="1:28"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69"/>
      <c r="Y781" s="69"/>
      <c r="Z781" s="69"/>
      <c r="AA781" s="69"/>
      <c r="AB781" s="69"/>
    </row>
    <row r="782" spans="1:28"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69"/>
      <c r="Y782" s="69"/>
      <c r="Z782" s="69"/>
      <c r="AA782" s="69"/>
      <c r="AB782" s="69"/>
    </row>
    <row r="783" spans="1:28"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69"/>
      <c r="Y783" s="69"/>
      <c r="Z783" s="69"/>
      <c r="AA783" s="69"/>
      <c r="AB783" s="69"/>
    </row>
    <row r="784" spans="1:28"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69"/>
      <c r="Y784" s="69"/>
      <c r="Z784" s="69"/>
      <c r="AA784" s="69"/>
      <c r="AB784" s="69"/>
    </row>
    <row r="785" spans="1:28"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69"/>
      <c r="Y785" s="69"/>
      <c r="Z785" s="69"/>
      <c r="AA785" s="69"/>
      <c r="AB785" s="69"/>
    </row>
    <row r="786" spans="1:28"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69"/>
      <c r="Y786" s="69"/>
      <c r="Z786" s="69"/>
      <c r="AA786" s="69"/>
      <c r="AB786" s="69"/>
    </row>
    <row r="787" spans="1:28"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69"/>
      <c r="Y787" s="69"/>
      <c r="Z787" s="69"/>
      <c r="AA787" s="69"/>
      <c r="AB787" s="69"/>
    </row>
    <row r="788" spans="1:28"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69"/>
      <c r="Y788" s="69"/>
      <c r="Z788" s="69"/>
      <c r="AA788" s="69"/>
      <c r="AB788" s="69"/>
    </row>
    <row r="789" spans="1:28"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69"/>
      <c r="Y789" s="69"/>
      <c r="Z789" s="69"/>
      <c r="AA789" s="69"/>
      <c r="AB789" s="69"/>
    </row>
    <row r="790" spans="1:28"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69"/>
      <c r="Y790" s="69"/>
      <c r="Z790" s="69"/>
      <c r="AA790" s="69"/>
      <c r="AB790" s="69"/>
    </row>
    <row r="791" spans="1:28"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69"/>
      <c r="Y791" s="69"/>
      <c r="Z791" s="69"/>
      <c r="AA791" s="69"/>
      <c r="AB791" s="69"/>
    </row>
    <row r="792" spans="1:28"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69"/>
      <c r="Y792" s="69"/>
      <c r="Z792" s="69"/>
      <c r="AA792" s="69"/>
      <c r="AB792" s="69"/>
    </row>
    <row r="793" spans="1:28"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69"/>
      <c r="Y793" s="69"/>
      <c r="Z793" s="69"/>
      <c r="AA793" s="69"/>
      <c r="AB793" s="69"/>
    </row>
    <row r="794" spans="1:28"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69"/>
      <c r="Y794" s="69"/>
      <c r="Z794" s="69"/>
      <c r="AA794" s="69"/>
      <c r="AB794" s="69"/>
    </row>
    <row r="795" spans="1:28"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69"/>
      <c r="Y795" s="69"/>
      <c r="Z795" s="69"/>
      <c r="AA795" s="69"/>
      <c r="AB795" s="69"/>
    </row>
    <row r="796" spans="1:28"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69"/>
      <c r="Y796" s="69"/>
      <c r="Z796" s="69"/>
      <c r="AA796" s="69"/>
      <c r="AB796" s="69"/>
    </row>
    <row r="797" spans="1:28"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69"/>
      <c r="Y797" s="69"/>
      <c r="Z797" s="69"/>
      <c r="AA797" s="69"/>
      <c r="AB797" s="69"/>
    </row>
    <row r="798" spans="1:28"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69"/>
      <c r="Y798" s="69"/>
      <c r="Z798" s="69"/>
      <c r="AA798" s="69"/>
      <c r="AB798" s="69"/>
    </row>
    <row r="799" spans="1:28"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69"/>
      <c r="Y799" s="69"/>
      <c r="Z799" s="69"/>
      <c r="AA799" s="69"/>
      <c r="AB799" s="69"/>
    </row>
    <row r="800" spans="1:28"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69"/>
      <c r="Y800" s="69"/>
      <c r="Z800" s="69"/>
      <c r="AA800" s="69"/>
      <c r="AB800" s="69"/>
    </row>
    <row r="801" spans="1:28"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69"/>
      <c r="Y801" s="69"/>
      <c r="Z801" s="69"/>
      <c r="AA801" s="69"/>
      <c r="AB801" s="69"/>
    </row>
    <row r="802" spans="1:28"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69"/>
      <c r="Y802" s="69"/>
      <c r="Z802" s="69"/>
      <c r="AA802" s="69"/>
      <c r="AB802" s="69"/>
    </row>
    <row r="803" spans="1:28"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69"/>
      <c r="Y803" s="69"/>
      <c r="Z803" s="69"/>
      <c r="AA803" s="69"/>
      <c r="AB803" s="69"/>
    </row>
    <row r="804" spans="1:28"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69"/>
      <c r="Y804" s="69"/>
      <c r="Z804" s="69"/>
      <c r="AA804" s="69"/>
      <c r="AB804" s="69"/>
    </row>
    <row r="805" spans="1:28"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69"/>
      <c r="Y805" s="69"/>
      <c r="Z805" s="69"/>
      <c r="AA805" s="69"/>
      <c r="AB805" s="69"/>
    </row>
    <row r="806" spans="1:28"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69"/>
      <c r="Y806" s="69"/>
      <c r="Z806" s="69"/>
      <c r="AA806" s="69"/>
      <c r="AB806" s="69"/>
    </row>
    <row r="807" spans="1:28"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69"/>
      <c r="Y807" s="69"/>
      <c r="Z807" s="69"/>
      <c r="AA807" s="69"/>
      <c r="AB807" s="69"/>
    </row>
    <row r="808" spans="1:28"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69"/>
      <c r="Y808" s="69"/>
      <c r="Z808" s="69"/>
      <c r="AA808" s="69"/>
      <c r="AB808" s="69"/>
    </row>
    <row r="809" spans="1:28"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69"/>
      <c r="Y809" s="69"/>
      <c r="Z809" s="69"/>
      <c r="AA809" s="69"/>
      <c r="AB809" s="69"/>
    </row>
    <row r="810" spans="1:28"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69"/>
      <c r="Y810" s="69"/>
      <c r="Z810" s="69"/>
      <c r="AA810" s="69"/>
      <c r="AB810" s="69"/>
    </row>
    <row r="811" spans="1:28"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69"/>
      <c r="Y811" s="69"/>
      <c r="Z811" s="69"/>
      <c r="AA811" s="69"/>
      <c r="AB811" s="69"/>
    </row>
    <row r="812" spans="1:28"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69"/>
      <c r="Y812" s="69"/>
      <c r="Z812" s="69"/>
      <c r="AA812" s="69"/>
      <c r="AB812" s="69"/>
    </row>
    <row r="813" spans="1:28"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69"/>
      <c r="Y813" s="69"/>
      <c r="Z813" s="69"/>
      <c r="AA813" s="69"/>
      <c r="AB813" s="69"/>
    </row>
    <row r="814" spans="1:28"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69"/>
      <c r="Y814" s="69"/>
      <c r="Z814" s="69"/>
      <c r="AA814" s="69"/>
      <c r="AB814" s="69"/>
    </row>
    <row r="815" spans="1:28"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69"/>
      <c r="Y815" s="69"/>
      <c r="Z815" s="69"/>
      <c r="AA815" s="69"/>
      <c r="AB815" s="69"/>
    </row>
    <row r="816" spans="1:28"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69"/>
      <c r="Y816" s="69"/>
      <c r="Z816" s="69"/>
      <c r="AA816" s="69"/>
      <c r="AB816" s="69"/>
    </row>
    <row r="817" spans="1:28"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69"/>
      <c r="Y817" s="69"/>
      <c r="Z817" s="69"/>
      <c r="AA817" s="69"/>
      <c r="AB817" s="69"/>
    </row>
    <row r="818" spans="1:28"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69"/>
      <c r="Y818" s="69"/>
      <c r="Z818" s="69"/>
      <c r="AA818" s="69"/>
      <c r="AB818" s="69"/>
    </row>
    <row r="819" spans="1:28"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69"/>
      <c r="Y819" s="69"/>
      <c r="Z819" s="69"/>
      <c r="AA819" s="69"/>
      <c r="AB819" s="69"/>
    </row>
    <row r="820" spans="1:28"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69"/>
      <c r="Y820" s="69"/>
      <c r="Z820" s="69"/>
      <c r="AA820" s="69"/>
      <c r="AB820" s="69"/>
    </row>
    <row r="821" spans="1:28"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69"/>
      <c r="Y821" s="69"/>
      <c r="Z821" s="69"/>
      <c r="AA821" s="69"/>
      <c r="AB821" s="69"/>
    </row>
    <row r="822" spans="1:28"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69"/>
      <c r="Y822" s="69"/>
      <c r="Z822" s="69"/>
      <c r="AA822" s="69"/>
      <c r="AB822" s="69"/>
    </row>
    <row r="823" spans="1:28"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69"/>
      <c r="Y823" s="69"/>
      <c r="Z823" s="69"/>
      <c r="AA823" s="69"/>
      <c r="AB823" s="69"/>
    </row>
    <row r="824" spans="1:28"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69"/>
      <c r="Y824" s="69"/>
      <c r="Z824" s="69"/>
      <c r="AA824" s="69"/>
      <c r="AB824" s="69"/>
    </row>
    <row r="825" spans="1:28"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69"/>
      <c r="Y825" s="69"/>
      <c r="Z825" s="69"/>
      <c r="AA825" s="69"/>
      <c r="AB825" s="69"/>
    </row>
    <row r="826" spans="1:28"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69"/>
      <c r="Y826" s="69"/>
      <c r="Z826" s="69"/>
      <c r="AA826" s="69"/>
      <c r="AB826" s="69"/>
    </row>
    <row r="827" spans="1:28"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69"/>
      <c r="Y827" s="69"/>
      <c r="Z827" s="69"/>
      <c r="AA827" s="69"/>
      <c r="AB827" s="69"/>
    </row>
    <row r="828" spans="1:28"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69"/>
      <c r="Y828" s="69"/>
      <c r="Z828" s="69"/>
      <c r="AA828" s="69"/>
      <c r="AB828" s="69"/>
    </row>
    <row r="829" spans="1:28"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69"/>
      <c r="Y829" s="69"/>
      <c r="Z829" s="69"/>
      <c r="AA829" s="69"/>
      <c r="AB829" s="69"/>
    </row>
    <row r="830" spans="1:28"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69"/>
      <c r="Y830" s="69"/>
      <c r="Z830" s="69"/>
      <c r="AA830" s="69"/>
      <c r="AB830" s="69"/>
    </row>
    <row r="831" spans="1:28"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69"/>
      <c r="Y831" s="69"/>
      <c r="Z831" s="69"/>
      <c r="AA831" s="69"/>
      <c r="AB831" s="69"/>
    </row>
    <row r="832" spans="1:28"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69"/>
      <c r="Y832" s="69"/>
      <c r="Z832" s="69"/>
      <c r="AA832" s="69"/>
      <c r="AB832" s="69"/>
    </row>
    <row r="833" spans="1:28"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69"/>
      <c r="Y833" s="69"/>
      <c r="Z833" s="69"/>
      <c r="AA833" s="69"/>
      <c r="AB833" s="69"/>
    </row>
    <row r="834" spans="1:28"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69"/>
      <c r="Y834" s="69"/>
      <c r="Z834" s="69"/>
      <c r="AA834" s="69"/>
      <c r="AB834" s="69"/>
    </row>
    <row r="835" spans="1:28"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69"/>
      <c r="Y835" s="69"/>
      <c r="Z835" s="69"/>
      <c r="AA835" s="69"/>
      <c r="AB835" s="69"/>
    </row>
    <row r="836" spans="1:28"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69"/>
      <c r="Y836" s="69"/>
      <c r="Z836" s="69"/>
      <c r="AA836" s="69"/>
      <c r="AB836" s="69"/>
    </row>
    <row r="837" spans="1:28"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69"/>
      <c r="Y837" s="69"/>
      <c r="Z837" s="69"/>
      <c r="AA837" s="69"/>
      <c r="AB837" s="69"/>
    </row>
    <row r="838" spans="1:28"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69"/>
      <c r="Y838" s="69"/>
      <c r="Z838" s="69"/>
      <c r="AA838" s="69"/>
      <c r="AB838" s="69"/>
    </row>
    <row r="839" spans="1:28"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69"/>
      <c r="Y839" s="69"/>
      <c r="Z839" s="69"/>
      <c r="AA839" s="69"/>
      <c r="AB839" s="69"/>
    </row>
    <row r="840" spans="1:28"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69"/>
      <c r="Y840" s="69"/>
      <c r="Z840" s="69"/>
      <c r="AA840" s="69"/>
      <c r="AB840" s="69"/>
    </row>
    <row r="841" spans="1:28"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69"/>
      <c r="Y841" s="69"/>
      <c r="Z841" s="69"/>
      <c r="AA841" s="69"/>
      <c r="AB841" s="69"/>
    </row>
    <row r="842" spans="1:28"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69"/>
      <c r="Y842" s="69"/>
      <c r="Z842" s="69"/>
      <c r="AA842" s="69"/>
      <c r="AB842" s="69"/>
    </row>
    <row r="843" spans="1:28"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69"/>
      <c r="Y843" s="69"/>
      <c r="Z843" s="69"/>
      <c r="AA843" s="69"/>
      <c r="AB843" s="69"/>
    </row>
    <row r="844" spans="1:28"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69"/>
      <c r="Y844" s="69"/>
      <c r="Z844" s="69"/>
      <c r="AA844" s="69"/>
      <c r="AB844" s="69"/>
    </row>
    <row r="845" spans="1:28"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69"/>
      <c r="Y845" s="69"/>
      <c r="Z845" s="69"/>
      <c r="AA845" s="69"/>
      <c r="AB845" s="69"/>
    </row>
    <row r="846" spans="1:28"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69"/>
      <c r="Y846" s="69"/>
      <c r="Z846" s="69"/>
      <c r="AA846" s="69"/>
      <c r="AB846" s="69"/>
    </row>
    <row r="847" spans="1:28"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69"/>
      <c r="Y847" s="69"/>
      <c r="Z847" s="69"/>
      <c r="AA847" s="69"/>
      <c r="AB847" s="69"/>
    </row>
    <row r="848" spans="1:28"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69"/>
      <c r="Y848" s="69"/>
      <c r="Z848" s="69"/>
      <c r="AA848" s="69"/>
      <c r="AB848" s="69"/>
    </row>
    <row r="849" spans="1:28"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69"/>
      <c r="Y849" s="69"/>
      <c r="Z849" s="69"/>
      <c r="AA849" s="69"/>
      <c r="AB849" s="69"/>
    </row>
    <row r="850" spans="1:28"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69"/>
      <c r="Y850" s="69"/>
      <c r="Z850" s="69"/>
      <c r="AA850" s="69"/>
      <c r="AB850" s="69"/>
    </row>
    <row r="851" spans="1:28"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69"/>
      <c r="Y851" s="69"/>
      <c r="Z851" s="69"/>
      <c r="AA851" s="69"/>
      <c r="AB851" s="69"/>
    </row>
    <row r="852" spans="1:28"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69"/>
      <c r="Y852" s="69"/>
      <c r="Z852" s="69"/>
      <c r="AA852" s="69"/>
      <c r="AB852" s="69"/>
    </row>
    <row r="853" spans="1:28"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69"/>
      <c r="Y853" s="69"/>
      <c r="Z853" s="69"/>
      <c r="AA853" s="69"/>
      <c r="AB853" s="69"/>
    </row>
    <row r="854" spans="1:28"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69"/>
      <c r="Y854" s="69"/>
      <c r="Z854" s="69"/>
      <c r="AA854" s="69"/>
      <c r="AB854" s="69"/>
    </row>
    <row r="855" spans="1:28"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69"/>
      <c r="Y855" s="69"/>
      <c r="Z855" s="69"/>
      <c r="AA855" s="69"/>
      <c r="AB855" s="69"/>
    </row>
    <row r="856" spans="1:28"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69"/>
      <c r="Y856" s="69"/>
      <c r="Z856" s="69"/>
      <c r="AA856" s="69"/>
      <c r="AB856" s="69"/>
    </row>
    <row r="857" spans="1:28"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69"/>
      <c r="Y857" s="69"/>
      <c r="Z857" s="69"/>
      <c r="AA857" s="69"/>
      <c r="AB857" s="69"/>
    </row>
    <row r="858" spans="1:28"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69"/>
      <c r="Y858" s="69"/>
      <c r="Z858" s="69"/>
      <c r="AA858" s="69"/>
      <c r="AB858" s="69"/>
    </row>
    <row r="859" spans="1:28"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69"/>
      <c r="Y859" s="69"/>
      <c r="Z859" s="69"/>
      <c r="AA859" s="69"/>
      <c r="AB859" s="69"/>
    </row>
    <row r="860" spans="1:28"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69"/>
      <c r="Y860" s="69"/>
      <c r="Z860" s="69"/>
      <c r="AA860" s="69"/>
      <c r="AB860" s="69"/>
    </row>
    <row r="861" spans="1:28"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69"/>
      <c r="Y861" s="69"/>
      <c r="Z861" s="69"/>
      <c r="AA861" s="69"/>
      <c r="AB861" s="69"/>
    </row>
    <row r="862" spans="1:28"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69"/>
      <c r="Y862" s="69"/>
      <c r="Z862" s="69"/>
      <c r="AA862" s="69"/>
      <c r="AB862" s="69"/>
    </row>
    <row r="863" spans="1:28"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69"/>
      <c r="Y863" s="69"/>
      <c r="Z863" s="69"/>
      <c r="AA863" s="69"/>
      <c r="AB863" s="69"/>
    </row>
    <row r="864" spans="1:28"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69"/>
      <c r="Y864" s="69"/>
      <c r="Z864" s="69"/>
      <c r="AA864" s="69"/>
      <c r="AB864" s="69"/>
    </row>
    <row r="865" spans="1:28"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69"/>
      <c r="Y865" s="69"/>
      <c r="Z865" s="69"/>
      <c r="AA865" s="69"/>
      <c r="AB865" s="69"/>
    </row>
    <row r="866" spans="1:28"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69"/>
      <c r="Y866" s="69"/>
      <c r="Z866" s="69"/>
      <c r="AA866" s="69"/>
      <c r="AB866" s="69"/>
    </row>
    <row r="867" spans="1:28"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69"/>
      <c r="Y867" s="69"/>
      <c r="Z867" s="69"/>
      <c r="AA867" s="69"/>
      <c r="AB867" s="69"/>
    </row>
    <row r="868" spans="1:28"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69"/>
      <c r="Y868" s="69"/>
      <c r="Z868" s="69"/>
      <c r="AA868" s="69"/>
      <c r="AB868" s="69"/>
    </row>
    <row r="869" spans="1:28"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69"/>
      <c r="Y869" s="69"/>
      <c r="Z869" s="69"/>
      <c r="AA869" s="69"/>
      <c r="AB869" s="69"/>
    </row>
    <row r="870" spans="1:28"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69"/>
      <c r="Y870" s="69"/>
      <c r="Z870" s="69"/>
      <c r="AA870" s="69"/>
      <c r="AB870" s="69"/>
    </row>
    <row r="871" spans="1:28"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69"/>
      <c r="Y871" s="69"/>
      <c r="Z871" s="69"/>
      <c r="AA871" s="69"/>
      <c r="AB871" s="69"/>
    </row>
    <row r="872" spans="1:28"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69"/>
      <c r="Y872" s="69"/>
      <c r="Z872" s="69"/>
      <c r="AA872" s="69"/>
      <c r="AB872" s="69"/>
    </row>
    <row r="873" spans="1:28"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69"/>
      <c r="Y873" s="69"/>
      <c r="Z873" s="69"/>
      <c r="AA873" s="69"/>
      <c r="AB873" s="69"/>
    </row>
    <row r="874" spans="1:28"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69"/>
      <c r="Y874" s="69"/>
      <c r="Z874" s="69"/>
      <c r="AA874" s="69"/>
      <c r="AB874" s="69"/>
    </row>
    <row r="875" spans="1:28"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69"/>
      <c r="Y875" s="69"/>
      <c r="Z875" s="69"/>
      <c r="AA875" s="69"/>
      <c r="AB875" s="69"/>
    </row>
    <row r="876" spans="1:28"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69"/>
      <c r="Y876" s="69"/>
      <c r="Z876" s="69"/>
      <c r="AA876" s="69"/>
      <c r="AB876" s="69"/>
    </row>
    <row r="877" spans="1:28"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69"/>
      <c r="Y877" s="69"/>
      <c r="Z877" s="69"/>
      <c r="AA877" s="69"/>
      <c r="AB877" s="69"/>
    </row>
    <row r="878" spans="1:28"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69"/>
      <c r="Y878" s="69"/>
      <c r="Z878" s="69"/>
      <c r="AA878" s="69"/>
      <c r="AB878" s="69"/>
    </row>
    <row r="879" spans="1:28"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69"/>
      <c r="Y879" s="69"/>
      <c r="Z879" s="69"/>
      <c r="AA879" s="69"/>
      <c r="AB879" s="69"/>
    </row>
    <row r="880" spans="1:28"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69"/>
      <c r="Y880" s="69"/>
      <c r="Z880" s="69"/>
      <c r="AA880" s="69"/>
      <c r="AB880" s="69"/>
    </row>
    <row r="881" spans="1:28"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69"/>
      <c r="Y881" s="69"/>
      <c r="Z881" s="69"/>
      <c r="AA881" s="69"/>
      <c r="AB881" s="69"/>
    </row>
    <row r="882" spans="1:28"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69"/>
      <c r="Y882" s="69"/>
      <c r="Z882" s="69"/>
      <c r="AA882" s="69"/>
      <c r="AB882" s="69"/>
    </row>
    <row r="883" spans="1:28"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69"/>
      <c r="Y883" s="69"/>
      <c r="Z883" s="69"/>
      <c r="AA883" s="69"/>
      <c r="AB883" s="69"/>
    </row>
    <row r="884" spans="1:28"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69"/>
      <c r="Y884" s="69"/>
      <c r="Z884" s="69"/>
      <c r="AA884" s="69"/>
      <c r="AB884" s="69"/>
    </row>
    <row r="885" spans="1:28"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69"/>
      <c r="Y885" s="69"/>
      <c r="Z885" s="69"/>
      <c r="AA885" s="69"/>
      <c r="AB885" s="69"/>
    </row>
    <row r="886" spans="1:28"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69"/>
      <c r="Y886" s="69"/>
      <c r="Z886" s="69"/>
      <c r="AA886" s="69"/>
      <c r="AB886" s="69"/>
    </row>
    <row r="887" spans="1:28"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69"/>
      <c r="Y887" s="69"/>
      <c r="Z887" s="69"/>
      <c r="AA887" s="69"/>
      <c r="AB887" s="69"/>
    </row>
    <row r="888" spans="1:28"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69"/>
      <c r="Y888" s="69"/>
      <c r="Z888" s="69"/>
      <c r="AA888" s="69"/>
      <c r="AB888" s="69"/>
    </row>
    <row r="889" spans="1:28"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69"/>
      <c r="Y889" s="69"/>
      <c r="Z889" s="69"/>
      <c r="AA889" s="69"/>
      <c r="AB889" s="69"/>
    </row>
    <row r="890" spans="1:28"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69"/>
      <c r="Y890" s="69"/>
      <c r="Z890" s="69"/>
      <c r="AA890" s="69"/>
      <c r="AB890" s="69"/>
    </row>
    <row r="891" spans="1:28"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69"/>
      <c r="Y891" s="69"/>
      <c r="Z891" s="69"/>
      <c r="AA891" s="69"/>
      <c r="AB891" s="69"/>
    </row>
    <row r="892" spans="1:28"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69"/>
      <c r="Y892" s="69"/>
      <c r="Z892" s="69"/>
      <c r="AA892" s="69"/>
      <c r="AB892" s="69"/>
    </row>
    <row r="893" spans="1:28"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69"/>
      <c r="Y893" s="69"/>
      <c r="Z893" s="69"/>
      <c r="AA893" s="69"/>
      <c r="AB893" s="69"/>
    </row>
    <row r="894" spans="1:28"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69"/>
      <c r="Y894" s="69"/>
      <c r="Z894" s="69"/>
      <c r="AA894" s="69"/>
      <c r="AB894" s="69"/>
    </row>
    <row r="895" spans="1:28"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69"/>
      <c r="Y895" s="69"/>
      <c r="Z895" s="69"/>
      <c r="AA895" s="69"/>
      <c r="AB895" s="69"/>
    </row>
    <row r="896" spans="1:28"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69"/>
      <c r="Y896" s="69"/>
      <c r="Z896" s="69"/>
      <c r="AA896" s="69"/>
      <c r="AB896" s="69"/>
    </row>
    <row r="897" spans="1:28"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69"/>
      <c r="Y897" s="69"/>
      <c r="Z897" s="69"/>
      <c r="AA897" s="69"/>
      <c r="AB897" s="69"/>
    </row>
    <row r="898" spans="1:28"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69"/>
      <c r="Y898" s="69"/>
      <c r="Z898" s="69"/>
      <c r="AA898" s="69"/>
      <c r="AB898" s="69"/>
    </row>
    <row r="899" spans="1:28"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69"/>
      <c r="Y899" s="69"/>
      <c r="Z899" s="69"/>
      <c r="AA899" s="69"/>
      <c r="AB899" s="69"/>
    </row>
    <row r="900" spans="1:28"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69"/>
      <c r="Y900" s="69"/>
      <c r="Z900" s="69"/>
      <c r="AA900" s="69"/>
      <c r="AB900" s="69"/>
    </row>
    <row r="901" spans="1:28"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69"/>
      <c r="Y901" s="69"/>
      <c r="Z901" s="69"/>
      <c r="AA901" s="69"/>
      <c r="AB901" s="69"/>
    </row>
    <row r="902" spans="1:28"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69"/>
      <c r="Y902" s="69"/>
      <c r="Z902" s="69"/>
      <c r="AA902" s="69"/>
      <c r="AB902" s="69"/>
    </row>
    <row r="903" spans="1:28"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69"/>
      <c r="Y903" s="69"/>
      <c r="Z903" s="69"/>
      <c r="AA903" s="69"/>
      <c r="AB903" s="69"/>
    </row>
    <row r="904" spans="1:28"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69"/>
      <c r="Y904" s="69"/>
      <c r="Z904" s="69"/>
      <c r="AA904" s="69"/>
      <c r="AB904" s="69"/>
    </row>
    <row r="905" spans="1:28"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69"/>
      <c r="Y905" s="69"/>
      <c r="Z905" s="69"/>
      <c r="AA905" s="69"/>
      <c r="AB905" s="69"/>
    </row>
    <row r="906" spans="1:28"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69"/>
      <c r="Y906" s="69"/>
      <c r="Z906" s="69"/>
      <c r="AA906" s="69"/>
      <c r="AB906" s="69"/>
    </row>
    <row r="907" spans="1:28"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69"/>
      <c r="Y907" s="69"/>
      <c r="Z907" s="69"/>
      <c r="AA907" s="69"/>
      <c r="AB907" s="69"/>
    </row>
    <row r="908" spans="1:28"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69"/>
      <c r="Y908" s="69"/>
      <c r="Z908" s="69"/>
      <c r="AA908" s="69"/>
      <c r="AB908" s="69"/>
    </row>
    <row r="909" spans="1:28"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69"/>
      <c r="Y909" s="69"/>
      <c r="Z909" s="69"/>
      <c r="AA909" s="69"/>
      <c r="AB909" s="69"/>
    </row>
    <row r="910" spans="1:28"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69"/>
      <c r="Y910" s="69"/>
      <c r="Z910" s="69"/>
      <c r="AA910" s="69"/>
      <c r="AB910" s="69"/>
    </row>
    <row r="911" spans="1:28"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69"/>
      <c r="Y911" s="69"/>
      <c r="Z911" s="69"/>
      <c r="AA911" s="69"/>
      <c r="AB911" s="69"/>
    </row>
    <row r="912" spans="1:28"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69"/>
      <c r="Y912" s="69"/>
      <c r="Z912" s="69"/>
      <c r="AA912" s="69"/>
      <c r="AB912" s="69"/>
    </row>
    <row r="913" spans="1:28"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69"/>
      <c r="Y913" s="69"/>
      <c r="Z913" s="69"/>
      <c r="AA913" s="69"/>
      <c r="AB913" s="69"/>
    </row>
    <row r="914" spans="1:28"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69"/>
      <c r="Y914" s="69"/>
      <c r="Z914" s="69"/>
      <c r="AA914" s="69"/>
      <c r="AB914" s="69"/>
    </row>
    <row r="915" spans="1:28"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69"/>
      <c r="Y915" s="69"/>
      <c r="Z915" s="69"/>
      <c r="AA915" s="69"/>
      <c r="AB915" s="69"/>
    </row>
    <row r="916" spans="1:28"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69"/>
      <c r="Y916" s="69"/>
      <c r="Z916" s="69"/>
      <c r="AA916" s="69"/>
      <c r="AB916" s="69"/>
    </row>
    <row r="917" spans="1:28"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69"/>
      <c r="Y917" s="69"/>
      <c r="Z917" s="69"/>
      <c r="AA917" s="69"/>
      <c r="AB917" s="69"/>
    </row>
    <row r="918" spans="1:28"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69"/>
      <c r="Y918" s="69"/>
      <c r="Z918" s="69"/>
      <c r="AA918" s="69"/>
      <c r="AB918" s="69"/>
    </row>
    <row r="919" spans="1:28"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69"/>
      <c r="Y919" s="69"/>
      <c r="Z919" s="69"/>
      <c r="AA919" s="69"/>
      <c r="AB919" s="69"/>
    </row>
    <row r="920" spans="1:28"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69"/>
      <c r="Y920" s="69"/>
      <c r="Z920" s="69"/>
      <c r="AA920" s="69"/>
      <c r="AB920" s="69"/>
    </row>
  </sheetData>
  <mergeCells count="41">
    <mergeCell ref="T14:W14"/>
    <mergeCell ref="B9:B10"/>
    <mergeCell ref="C9:C10"/>
    <mergeCell ref="D9:D10"/>
    <mergeCell ref="E9:E10"/>
    <mergeCell ref="F9:F10"/>
    <mergeCell ref="N9:N10"/>
    <mergeCell ref="B13:O15"/>
    <mergeCell ref="T13:W13"/>
    <mergeCell ref="D4:D6"/>
    <mergeCell ref="G9:G10"/>
    <mergeCell ref="K7:K10"/>
    <mergeCell ref="M9:M10"/>
    <mergeCell ref="D7:D8"/>
    <mergeCell ref="F4:F6"/>
    <mergeCell ref="F7:F8"/>
    <mergeCell ref="N7:N8"/>
    <mergeCell ref="O7:O8"/>
    <mergeCell ref="P13:S13"/>
    <mergeCell ref="P14:S14"/>
    <mergeCell ref="G4:G6"/>
    <mergeCell ref="G7:G8"/>
    <mergeCell ref="M7:M8"/>
    <mergeCell ref="P4:S4"/>
    <mergeCell ref="H4:H6"/>
    <mergeCell ref="K16:K17"/>
    <mergeCell ref="B1:S2"/>
    <mergeCell ref="B4:B6"/>
    <mergeCell ref="B7:B8"/>
    <mergeCell ref="M4:M6"/>
    <mergeCell ref="I4:I6"/>
    <mergeCell ref="J4:J6"/>
    <mergeCell ref="K4:K6"/>
    <mergeCell ref="L4:L6"/>
    <mergeCell ref="C4:C6"/>
    <mergeCell ref="C7:C8"/>
    <mergeCell ref="P5:S5"/>
    <mergeCell ref="N4:N6"/>
    <mergeCell ref="O4:O6"/>
    <mergeCell ref="E4:E6"/>
    <mergeCell ref="E7:E8"/>
  </mergeCells>
  <pageMargins left="0.70866141732283472" right="0.70866141732283472" top="0.74803149606299213" bottom="0.74803149606299213" header="0" footer="0"/>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7"/>
  <sheetViews>
    <sheetView showGridLines="0" tabSelected="1" topLeftCell="A52" zoomScale="70" zoomScaleNormal="70" workbookViewId="0">
      <selection activeCell="C81" sqref="C81"/>
    </sheetView>
  </sheetViews>
  <sheetFormatPr baseColWidth="10" defaultColWidth="11" defaultRowHeight="16.5" x14ac:dyDescent="0.3"/>
  <cols>
    <col min="1" max="1" width="17.875" style="1" customWidth="1"/>
    <col min="2" max="2" width="25.875" style="1" customWidth="1"/>
    <col min="3" max="3" width="16.125" style="1" customWidth="1"/>
    <col min="4" max="4" width="15" style="1" customWidth="1"/>
    <col min="5" max="5" width="14.375" style="1" customWidth="1"/>
    <col min="6" max="6" width="21.625" style="1" customWidth="1"/>
    <col min="7" max="7" width="12.625" style="1" customWidth="1"/>
    <col min="8" max="8" width="4" style="1" customWidth="1"/>
    <col min="9" max="9" width="27" style="1" customWidth="1"/>
    <col min="10" max="10" width="27.125" style="1" customWidth="1"/>
    <col min="11" max="11" width="13.5" style="1" customWidth="1"/>
    <col min="12" max="12" width="18.375" style="1" customWidth="1"/>
    <col min="13" max="13" width="15.375" style="1" customWidth="1"/>
    <col min="14" max="16384" width="11" style="1"/>
  </cols>
  <sheetData>
    <row r="1" spans="1:13" ht="17.25" thickBot="1" x14ac:dyDescent="0.35"/>
    <row r="2" spans="1:13" ht="17.25" thickBot="1" x14ac:dyDescent="0.35">
      <c r="A2" s="384" t="s">
        <v>118</v>
      </c>
      <c r="B2" s="385"/>
      <c r="C2" s="385"/>
      <c r="D2" s="385"/>
      <c r="E2" s="385"/>
      <c r="F2" s="385"/>
      <c r="G2" s="385"/>
      <c r="H2" s="385"/>
      <c r="I2" s="385"/>
      <c r="J2" s="385"/>
      <c r="K2" s="385"/>
      <c r="L2" s="385"/>
    </row>
    <row r="3" spans="1:13" ht="17.25" thickBot="1" x14ac:dyDescent="0.35"/>
    <row r="4" spans="1:13" ht="17.25" thickBot="1" x14ac:dyDescent="0.35">
      <c r="A4" s="386" t="s">
        <v>119</v>
      </c>
      <c r="B4" s="387"/>
      <c r="C4" s="387"/>
      <c r="D4" s="387"/>
      <c r="E4" s="387"/>
      <c r="F4" s="387"/>
      <c r="G4" s="228"/>
      <c r="H4" s="388" t="s">
        <v>120</v>
      </c>
      <c r="I4" s="389"/>
      <c r="J4" s="389"/>
      <c r="K4" s="389"/>
      <c r="L4" s="389"/>
    </row>
    <row r="5" spans="1:13" ht="16.5" customHeight="1" x14ac:dyDescent="0.3">
      <c r="A5" s="430" t="s">
        <v>121</v>
      </c>
      <c r="B5" s="431"/>
      <c r="C5" s="431"/>
      <c r="D5" s="431"/>
      <c r="E5" s="431"/>
      <c r="F5" s="431"/>
      <c r="G5" s="432"/>
      <c r="H5" s="409" t="s">
        <v>122</v>
      </c>
      <c r="I5" s="425"/>
      <c r="J5" s="425"/>
      <c r="K5" s="425"/>
      <c r="L5" s="426"/>
    </row>
    <row r="6" spans="1:13" ht="62.25" customHeight="1" thickBot="1" x14ac:dyDescent="0.35">
      <c r="A6" s="430"/>
      <c r="B6" s="431"/>
      <c r="C6" s="431"/>
      <c r="D6" s="431"/>
      <c r="E6" s="431"/>
      <c r="F6" s="431"/>
      <c r="G6" s="432"/>
      <c r="H6" s="427"/>
      <c r="I6" s="428"/>
      <c r="J6" s="428"/>
      <c r="K6" s="428"/>
      <c r="L6" s="429"/>
      <c r="M6" s="317"/>
    </row>
    <row r="7" spans="1:13" ht="17.25" thickBot="1" x14ac:dyDescent="0.35">
      <c r="A7" s="406" t="s">
        <v>123</v>
      </c>
      <c r="B7" s="407"/>
      <c r="C7" s="407"/>
      <c r="D7" s="408"/>
      <c r="E7" s="416" t="s">
        <v>124</v>
      </c>
      <c r="F7" s="417"/>
      <c r="G7" s="418"/>
      <c r="H7" s="399" t="s">
        <v>125</v>
      </c>
      <c r="I7" s="400"/>
      <c r="J7" s="400"/>
      <c r="K7" s="400"/>
      <c r="L7" s="400"/>
    </row>
    <row r="8" spans="1:13" ht="31.5" customHeight="1" thickBot="1" x14ac:dyDescent="0.35">
      <c r="A8" s="409" t="s">
        <v>126</v>
      </c>
      <c r="B8" s="395"/>
      <c r="C8" s="395"/>
      <c r="D8" s="396"/>
      <c r="E8" s="419" t="s">
        <v>127</v>
      </c>
      <c r="F8" s="420"/>
      <c r="G8" s="421"/>
      <c r="H8" s="120"/>
      <c r="I8" s="121"/>
      <c r="J8" s="121"/>
      <c r="K8" s="90"/>
      <c r="L8" s="91"/>
    </row>
    <row r="9" spans="1:13" ht="30" customHeight="1" x14ac:dyDescent="0.3">
      <c r="A9" s="410"/>
      <c r="B9" s="411"/>
      <c r="C9" s="411"/>
      <c r="D9" s="412"/>
      <c r="E9" s="419"/>
      <c r="F9" s="420"/>
      <c r="G9" s="421"/>
      <c r="H9" s="122"/>
      <c r="I9" s="102" t="s">
        <v>128</v>
      </c>
      <c r="J9" s="320">
        <f>G16</f>
        <v>408093.5</v>
      </c>
      <c r="K9" s="99" t="s">
        <v>129</v>
      </c>
      <c r="L9" s="123"/>
    </row>
    <row r="10" spans="1:13" ht="23.25" customHeight="1" x14ac:dyDescent="0.3">
      <c r="A10" s="410"/>
      <c r="B10" s="411"/>
      <c r="C10" s="411"/>
      <c r="D10" s="412"/>
      <c r="E10" s="419"/>
      <c r="F10" s="420"/>
      <c r="G10" s="421"/>
      <c r="H10" s="122"/>
      <c r="I10" s="103" t="s">
        <v>130</v>
      </c>
      <c r="J10" s="98">
        <v>5.3400000000000003E-2</v>
      </c>
      <c r="K10" s="100" t="s">
        <v>131</v>
      </c>
      <c r="L10" s="123"/>
    </row>
    <row r="11" spans="1:13" ht="24" customHeight="1" thickBot="1" x14ac:dyDescent="0.35">
      <c r="A11" s="410"/>
      <c r="B11" s="411"/>
      <c r="C11" s="411"/>
      <c r="D11" s="412"/>
      <c r="E11" s="419"/>
      <c r="F11" s="420"/>
      <c r="G11" s="421"/>
      <c r="H11" s="122"/>
      <c r="I11" s="401" t="s">
        <v>132</v>
      </c>
      <c r="J11" s="124">
        <f>J10*J9</f>
        <v>21792.192900000002</v>
      </c>
      <c r="K11" s="100" t="s">
        <v>133</v>
      </c>
      <c r="L11" s="123"/>
    </row>
    <row r="12" spans="1:13" ht="30" customHeight="1" thickBot="1" x14ac:dyDescent="0.35">
      <c r="A12" s="406" t="s">
        <v>134</v>
      </c>
      <c r="B12" s="407"/>
      <c r="C12" s="407"/>
      <c r="D12" s="408"/>
      <c r="E12" s="416" t="s">
        <v>135</v>
      </c>
      <c r="F12" s="417"/>
      <c r="G12" s="418"/>
      <c r="H12" s="92"/>
      <c r="I12" s="402"/>
      <c r="J12" s="126">
        <f>J11/1000</f>
        <v>21.792192900000003</v>
      </c>
      <c r="K12" s="101" t="s">
        <v>136</v>
      </c>
      <c r="L12" s="123"/>
    </row>
    <row r="13" spans="1:13" ht="27.75" customHeight="1" thickBot="1" x14ac:dyDescent="0.35">
      <c r="A13" s="413">
        <v>2022</v>
      </c>
      <c r="B13" s="414"/>
      <c r="C13" s="414"/>
      <c r="D13" s="415"/>
      <c r="E13" s="422">
        <f>J12</f>
        <v>21.792192900000003</v>
      </c>
      <c r="F13" s="423"/>
      <c r="G13" s="424"/>
      <c r="H13" s="92"/>
      <c r="I13" s="93"/>
      <c r="J13" s="93"/>
      <c r="K13" s="93"/>
      <c r="L13" s="94"/>
    </row>
    <row r="14" spans="1:13" ht="17.25" thickBot="1" x14ac:dyDescent="0.35">
      <c r="A14" s="403" t="s">
        <v>137</v>
      </c>
      <c r="B14" s="404"/>
      <c r="C14" s="404"/>
      <c r="D14" s="404"/>
      <c r="E14" s="404"/>
      <c r="F14" s="405"/>
      <c r="G14" s="231"/>
      <c r="H14" s="92"/>
      <c r="I14" s="93"/>
      <c r="J14" s="93"/>
      <c r="K14" s="93"/>
      <c r="L14" s="94"/>
    </row>
    <row r="15" spans="1:13" x14ac:dyDescent="0.3">
      <c r="A15" s="104" t="s">
        <v>138</v>
      </c>
      <c r="B15" s="105">
        <v>2017</v>
      </c>
      <c r="C15" s="105">
        <v>2018</v>
      </c>
      <c r="D15" s="105">
        <v>2019</v>
      </c>
      <c r="E15" s="105">
        <v>2020</v>
      </c>
      <c r="F15" s="106">
        <v>2021</v>
      </c>
      <c r="G15" s="106">
        <v>2022</v>
      </c>
      <c r="H15" s="92"/>
      <c r="I15" s="93"/>
      <c r="J15" s="93"/>
      <c r="K15" s="93"/>
      <c r="L15" s="94"/>
    </row>
    <row r="16" spans="1:13" ht="14.45" customHeight="1" thickBot="1" x14ac:dyDescent="0.35">
      <c r="A16" s="107" t="s">
        <v>129</v>
      </c>
      <c r="B16" s="108">
        <v>26810</v>
      </c>
      <c r="C16" s="108">
        <v>21724</v>
      </c>
      <c r="D16" s="108">
        <v>36899</v>
      </c>
      <c r="E16" s="108">
        <v>75236.800000000003</v>
      </c>
      <c r="F16" s="108">
        <f>J9</f>
        <v>408093.5</v>
      </c>
      <c r="G16" s="246">
        <f>(3473+404620.5)</f>
        <v>408093.5</v>
      </c>
      <c r="H16" s="95"/>
      <c r="I16" s="96"/>
      <c r="J16" s="96"/>
      <c r="K16" s="96"/>
      <c r="L16" s="97"/>
    </row>
    <row r="17" spans="1:12" ht="17.25" thickBot="1" x14ac:dyDescent="0.35"/>
    <row r="18" spans="1:12" ht="17.25" thickBot="1" x14ac:dyDescent="0.35">
      <c r="A18" s="384" t="s">
        <v>139</v>
      </c>
      <c r="B18" s="385"/>
      <c r="C18" s="385"/>
      <c r="D18" s="385"/>
      <c r="E18" s="385"/>
      <c r="F18" s="385"/>
      <c r="G18" s="385"/>
      <c r="H18" s="385"/>
      <c r="I18" s="385"/>
      <c r="J18" s="385"/>
      <c r="K18" s="385"/>
      <c r="L18" s="385"/>
    </row>
    <row r="19" spans="1:12" ht="17.25" thickBot="1" x14ac:dyDescent="0.35"/>
    <row r="20" spans="1:12" ht="17.25" thickBot="1" x14ac:dyDescent="0.35">
      <c r="A20" s="386" t="s">
        <v>119</v>
      </c>
      <c r="B20" s="387"/>
      <c r="C20" s="387"/>
      <c r="D20" s="387"/>
      <c r="E20" s="387"/>
      <c r="F20" s="387"/>
      <c r="G20" s="228"/>
      <c r="H20" s="388" t="s">
        <v>120</v>
      </c>
      <c r="I20" s="389"/>
      <c r="J20" s="389"/>
      <c r="K20" s="389"/>
      <c r="L20" s="389"/>
    </row>
    <row r="21" spans="1:12" ht="45" customHeight="1" x14ac:dyDescent="0.3">
      <c r="A21" s="390" t="s">
        <v>140</v>
      </c>
      <c r="B21" s="391"/>
      <c r="C21" s="391"/>
      <c r="D21" s="391"/>
      <c r="E21" s="391"/>
      <c r="F21" s="391"/>
      <c r="G21" s="229"/>
      <c r="H21" s="394" t="s">
        <v>141</v>
      </c>
      <c r="I21" s="395"/>
      <c r="J21" s="395"/>
      <c r="K21" s="395"/>
      <c r="L21" s="396"/>
    </row>
    <row r="22" spans="1:12" ht="51.75" customHeight="1" thickBot="1" x14ac:dyDescent="0.35">
      <c r="A22" s="392"/>
      <c r="B22" s="393"/>
      <c r="C22" s="393"/>
      <c r="D22" s="393"/>
      <c r="E22" s="393"/>
      <c r="F22" s="393"/>
      <c r="G22" s="73"/>
      <c r="H22" s="410"/>
      <c r="I22" s="411"/>
      <c r="J22" s="411"/>
      <c r="K22" s="411"/>
      <c r="L22" s="412"/>
    </row>
    <row r="23" spans="1:12" x14ac:dyDescent="0.3">
      <c r="A23" s="406" t="s">
        <v>123</v>
      </c>
      <c r="B23" s="407"/>
      <c r="C23" s="407"/>
      <c r="D23" s="408"/>
      <c r="E23" s="439" t="s">
        <v>124</v>
      </c>
      <c r="F23" s="440"/>
      <c r="G23" s="230"/>
      <c r="H23" s="469" t="s">
        <v>125</v>
      </c>
      <c r="I23" s="470"/>
      <c r="J23" s="470"/>
      <c r="K23" s="470"/>
      <c r="L23" s="471"/>
    </row>
    <row r="24" spans="1:12" ht="31.5" customHeight="1" x14ac:dyDescent="0.3">
      <c r="A24" s="409" t="s">
        <v>142</v>
      </c>
      <c r="B24" s="395"/>
      <c r="C24" s="395"/>
      <c r="D24" s="396"/>
      <c r="E24" s="459" t="s">
        <v>143</v>
      </c>
      <c r="F24" s="460"/>
      <c r="G24" s="227"/>
      <c r="H24" s="472" t="s">
        <v>144</v>
      </c>
      <c r="I24" s="473"/>
      <c r="J24" s="473"/>
      <c r="K24" s="473"/>
      <c r="L24" s="474"/>
    </row>
    <row r="25" spans="1:12" ht="30" customHeight="1" x14ac:dyDescent="0.3">
      <c r="A25" s="410"/>
      <c r="B25" s="411"/>
      <c r="C25" s="411"/>
      <c r="D25" s="412"/>
      <c r="E25" s="410"/>
      <c r="F25" s="412"/>
      <c r="G25" s="227"/>
      <c r="H25" s="258" t="s">
        <v>145</v>
      </c>
      <c r="I25" s="242"/>
      <c r="J25" s="242"/>
      <c r="K25" s="249">
        <f>Bicicletas!E36</f>
        <v>2.8936869458823535</v>
      </c>
      <c r="L25" s="259"/>
    </row>
    <row r="26" spans="1:12" ht="23.25" customHeight="1" x14ac:dyDescent="0.3">
      <c r="A26" s="410"/>
      <c r="B26" s="411"/>
      <c r="C26" s="411"/>
      <c r="D26" s="412"/>
      <c r="E26" s="410"/>
      <c r="F26" s="412"/>
      <c r="G26" s="227"/>
      <c r="H26" s="472" t="s">
        <v>146</v>
      </c>
      <c r="I26" s="475"/>
      <c r="J26" s="475"/>
      <c r="K26" s="475"/>
      <c r="L26" s="476"/>
    </row>
    <row r="27" spans="1:12" ht="24" customHeight="1" x14ac:dyDescent="0.3">
      <c r="A27" s="410"/>
      <c r="B27" s="411"/>
      <c r="C27" s="411"/>
      <c r="D27" s="412"/>
      <c r="E27" s="410"/>
      <c r="F27" s="412"/>
      <c r="G27" s="227"/>
      <c r="H27" s="258" t="s">
        <v>147</v>
      </c>
      <c r="I27" s="242"/>
      <c r="J27" s="242"/>
      <c r="K27" s="250">
        <f>Bicicletas!E39</f>
        <v>55.347463250883408</v>
      </c>
      <c r="L27" s="259"/>
    </row>
    <row r="28" spans="1:12" ht="30" customHeight="1" x14ac:dyDescent="0.3">
      <c r="A28" s="406" t="s">
        <v>134</v>
      </c>
      <c r="B28" s="407"/>
      <c r="C28" s="407"/>
      <c r="D28" s="408"/>
      <c r="E28" s="439" t="s">
        <v>148</v>
      </c>
      <c r="F28" s="440"/>
      <c r="G28" s="230"/>
      <c r="H28" s="258" t="s">
        <v>149</v>
      </c>
      <c r="I28" s="242"/>
      <c r="J28" s="242"/>
      <c r="K28" s="250">
        <f>Bicicletas!E41</f>
        <v>129.39002659626044</v>
      </c>
      <c r="L28" s="259"/>
    </row>
    <row r="29" spans="1:12" ht="27.75" customHeight="1" thickBot="1" x14ac:dyDescent="0.35">
      <c r="A29" s="413">
        <v>2022</v>
      </c>
      <c r="B29" s="414"/>
      <c r="C29" s="414"/>
      <c r="D29" s="415"/>
      <c r="E29" s="444">
        <f>K30/1000</f>
        <v>0.1264963396503781</v>
      </c>
      <c r="F29" s="445"/>
      <c r="G29" s="232"/>
      <c r="H29" s="472" t="s">
        <v>150</v>
      </c>
      <c r="I29" s="473"/>
      <c r="J29" s="473"/>
      <c r="K29" s="473"/>
      <c r="L29" s="474"/>
    </row>
    <row r="30" spans="1:12" ht="19.149999999999999" customHeight="1" thickBot="1" x14ac:dyDescent="0.35">
      <c r="A30" s="403" t="s">
        <v>137</v>
      </c>
      <c r="B30" s="404"/>
      <c r="C30" s="404"/>
      <c r="D30" s="404"/>
      <c r="E30" s="404"/>
      <c r="F30" s="405"/>
      <c r="G30" s="231"/>
      <c r="H30" s="258" t="s">
        <v>151</v>
      </c>
      <c r="I30" s="242"/>
      <c r="J30" s="242"/>
      <c r="K30" s="250">
        <f>K28-K25</f>
        <v>126.49633965037809</v>
      </c>
      <c r="L30" s="259"/>
    </row>
    <row r="31" spans="1:12" ht="30.75" customHeight="1" x14ac:dyDescent="0.3">
      <c r="A31" s="104" t="s">
        <v>152</v>
      </c>
      <c r="B31" s="105">
        <v>2022</v>
      </c>
      <c r="C31" s="105"/>
      <c r="D31" s="105"/>
      <c r="E31" s="105"/>
      <c r="F31" s="106"/>
      <c r="G31" s="232"/>
      <c r="H31" s="258"/>
      <c r="I31" s="242"/>
      <c r="J31" s="242"/>
      <c r="K31" s="242"/>
      <c r="L31" s="259"/>
    </row>
    <row r="32" spans="1:12" ht="14.45" customHeight="1" thickBot="1" x14ac:dyDescent="0.35">
      <c r="A32" s="107" t="s">
        <v>153</v>
      </c>
      <c r="B32" s="108">
        <v>1096.98</v>
      </c>
      <c r="C32" s="246"/>
      <c r="D32" s="108"/>
      <c r="E32" s="108"/>
      <c r="F32" s="109"/>
      <c r="G32" s="233"/>
      <c r="H32" s="260"/>
      <c r="I32" s="261"/>
      <c r="J32" s="261"/>
      <c r="K32" s="261"/>
      <c r="L32" s="262"/>
    </row>
    <row r="33" spans="1:12" ht="17.25" thickBot="1" x14ac:dyDescent="0.35"/>
    <row r="34" spans="1:12" ht="17.25" thickBot="1" x14ac:dyDescent="0.35">
      <c r="A34" s="384" t="s">
        <v>154</v>
      </c>
      <c r="B34" s="385"/>
      <c r="C34" s="385"/>
      <c r="D34" s="385"/>
      <c r="E34" s="385"/>
      <c r="F34" s="385"/>
      <c r="G34" s="385"/>
      <c r="H34" s="385"/>
      <c r="I34" s="385"/>
      <c r="J34" s="385"/>
      <c r="K34" s="385"/>
      <c r="L34" s="385"/>
    </row>
    <row r="35" spans="1:12" ht="17.25" thickBot="1" x14ac:dyDescent="0.35"/>
    <row r="36" spans="1:12" ht="17.25" thickBot="1" x14ac:dyDescent="0.35">
      <c r="A36" s="386" t="s">
        <v>119</v>
      </c>
      <c r="B36" s="387"/>
      <c r="C36" s="387"/>
      <c r="D36" s="387"/>
      <c r="E36" s="387"/>
      <c r="F36" s="387"/>
      <c r="G36" s="228"/>
      <c r="H36" s="388" t="s">
        <v>120</v>
      </c>
      <c r="I36" s="389"/>
      <c r="J36" s="389"/>
      <c r="K36" s="389"/>
      <c r="L36" s="389"/>
    </row>
    <row r="37" spans="1:12" x14ac:dyDescent="0.3">
      <c r="A37" s="390" t="s">
        <v>155</v>
      </c>
      <c r="B37" s="391"/>
      <c r="C37" s="391"/>
      <c r="D37" s="391"/>
      <c r="E37" s="391"/>
      <c r="F37" s="391"/>
      <c r="G37" s="229"/>
      <c r="H37" s="463" t="s">
        <v>156</v>
      </c>
      <c r="I37" s="464"/>
      <c r="J37" s="464"/>
      <c r="K37" s="464"/>
      <c r="L37" s="465"/>
    </row>
    <row r="38" spans="1:12" ht="84" customHeight="1" thickBot="1" x14ac:dyDescent="0.35">
      <c r="A38" s="392"/>
      <c r="B38" s="393"/>
      <c r="C38" s="393"/>
      <c r="D38" s="393"/>
      <c r="E38" s="393"/>
      <c r="F38" s="393"/>
      <c r="G38" s="73"/>
      <c r="H38" s="466"/>
      <c r="I38" s="467"/>
      <c r="J38" s="467"/>
      <c r="K38" s="467"/>
      <c r="L38" s="468"/>
    </row>
    <row r="39" spans="1:12" ht="17.25" thickBot="1" x14ac:dyDescent="0.35">
      <c r="A39" s="406" t="s">
        <v>123</v>
      </c>
      <c r="B39" s="407"/>
      <c r="C39" s="407"/>
      <c r="D39" s="408"/>
      <c r="E39" s="477" t="s">
        <v>124</v>
      </c>
      <c r="F39" s="440"/>
      <c r="G39" s="230"/>
      <c r="H39" s="122"/>
      <c r="I39" s="478" t="s">
        <v>125</v>
      </c>
      <c r="J39" s="479"/>
      <c r="K39" s="479"/>
      <c r="L39" s="479"/>
    </row>
    <row r="40" spans="1:12" x14ac:dyDescent="0.3">
      <c r="A40" s="409" t="s">
        <v>157</v>
      </c>
      <c r="B40" s="395"/>
      <c r="C40" s="395"/>
      <c r="D40" s="396"/>
      <c r="E40" s="459" t="s">
        <v>158</v>
      </c>
      <c r="F40" s="460"/>
      <c r="G40" s="227"/>
      <c r="H40" s="120"/>
      <c r="I40" s="439"/>
      <c r="J40" s="439"/>
      <c r="K40" s="439"/>
      <c r="L40" s="440"/>
    </row>
    <row r="41" spans="1:12" ht="17.25" thickBot="1" x14ac:dyDescent="0.35">
      <c r="A41" s="410"/>
      <c r="B41" s="411"/>
      <c r="C41" s="411"/>
      <c r="D41" s="412"/>
      <c r="E41" s="410"/>
      <c r="F41" s="412"/>
      <c r="G41" s="227"/>
      <c r="H41" s="122"/>
      <c r="I41" s="237"/>
      <c r="J41" s="237"/>
      <c r="K41" s="237"/>
      <c r="L41" s="237" t="s">
        <v>159</v>
      </c>
    </row>
    <row r="42" spans="1:12" x14ac:dyDescent="0.3">
      <c r="A42" s="410"/>
      <c r="B42" s="411"/>
      <c r="C42" s="411"/>
      <c r="D42" s="412"/>
      <c r="E42" s="410"/>
      <c r="F42" s="412"/>
      <c r="G42" s="227"/>
      <c r="H42" s="122"/>
      <c r="I42" s="116"/>
      <c r="J42" s="114"/>
      <c r="K42" s="113"/>
      <c r="L42" s="236"/>
    </row>
    <row r="43" spans="1:12" ht="49.5" customHeight="1" thickBot="1" x14ac:dyDescent="0.35">
      <c r="A43" s="410"/>
      <c r="B43" s="411"/>
      <c r="C43" s="411"/>
      <c r="D43" s="412"/>
      <c r="E43" s="410"/>
      <c r="F43" s="412"/>
      <c r="G43" s="227"/>
      <c r="H43" s="122"/>
      <c r="I43" s="461" t="s">
        <v>160</v>
      </c>
      <c r="J43" s="239" t="s">
        <v>161</v>
      </c>
      <c r="K43" s="240">
        <f>Luminarias!N7</f>
        <v>14256</v>
      </c>
      <c r="L43" s="241"/>
    </row>
    <row r="44" spans="1:12" ht="18.75" thickBot="1" x14ac:dyDescent="0.35">
      <c r="A44" s="406" t="s">
        <v>134</v>
      </c>
      <c r="B44" s="407"/>
      <c r="C44" s="407"/>
      <c r="D44" s="408"/>
      <c r="E44" s="439" t="s">
        <v>148</v>
      </c>
      <c r="F44" s="440"/>
      <c r="G44" s="230"/>
      <c r="H44" s="122"/>
      <c r="I44" s="462"/>
      <c r="J44" s="305" t="s">
        <v>162</v>
      </c>
      <c r="K44" s="115">
        <f>Luminarias!N8</f>
        <v>5049</v>
      </c>
      <c r="L44" s="242"/>
    </row>
    <row r="45" spans="1:12" ht="17.25" thickBot="1" x14ac:dyDescent="0.35">
      <c r="A45" s="413">
        <v>2022</v>
      </c>
      <c r="B45" s="414"/>
      <c r="C45" s="414"/>
      <c r="D45" s="415"/>
      <c r="E45" s="444">
        <f>L48</f>
        <v>1.0308870000000001</v>
      </c>
      <c r="F45" s="445"/>
      <c r="G45" s="232"/>
      <c r="H45" s="122"/>
      <c r="I45" s="116" t="s">
        <v>163</v>
      </c>
      <c r="J45" s="114"/>
      <c r="K45" s="304">
        <f>K43+K44</f>
        <v>19305</v>
      </c>
      <c r="L45" s="238"/>
    </row>
    <row r="46" spans="1:12" ht="17.25" thickBot="1" x14ac:dyDescent="0.35">
      <c r="A46" s="403" t="s">
        <v>137</v>
      </c>
      <c r="B46" s="404"/>
      <c r="C46" s="404"/>
      <c r="D46" s="404"/>
      <c r="E46" s="404"/>
      <c r="F46" s="405"/>
      <c r="G46" s="231"/>
      <c r="H46" s="122"/>
      <c r="I46" s="441" t="s">
        <v>164</v>
      </c>
      <c r="J46" s="442"/>
      <c r="K46" s="443"/>
      <c r="L46" s="238">
        <f>K45</f>
        <v>19305</v>
      </c>
    </row>
    <row r="47" spans="1:12" ht="17.25" customHeight="1" thickBot="1" x14ac:dyDescent="0.35">
      <c r="A47" s="433" t="s">
        <v>165</v>
      </c>
      <c r="B47" s="244">
        <v>2021</v>
      </c>
      <c r="C47" s="243">
        <v>2022</v>
      </c>
      <c r="D47" s="243"/>
      <c r="E47" s="243">
        <v>2021</v>
      </c>
      <c r="F47" s="243">
        <v>2022</v>
      </c>
      <c r="G47" s="446"/>
      <c r="H47" s="72"/>
      <c r="I47" s="441" t="s">
        <v>166</v>
      </c>
      <c r="J47" s="442"/>
      <c r="K47" s="443"/>
      <c r="L47" s="242">
        <v>5.3400000000000003E-2</v>
      </c>
    </row>
    <row r="48" spans="1:12" x14ac:dyDescent="0.3">
      <c r="A48" s="434"/>
      <c r="B48" s="436"/>
      <c r="C48" s="449"/>
      <c r="D48" s="452"/>
      <c r="E48" s="455"/>
      <c r="F48" s="458">
        <f>E45</f>
        <v>1.0308870000000001</v>
      </c>
      <c r="G48" s="447"/>
      <c r="H48" s="72"/>
      <c r="I48" s="441" t="s">
        <v>167</v>
      </c>
      <c r="J48" s="442"/>
      <c r="K48" s="443"/>
      <c r="L48" s="245">
        <f>(L46*L47)/1000</f>
        <v>1.0308870000000001</v>
      </c>
    </row>
    <row r="49" spans="1:12" x14ac:dyDescent="0.3">
      <c r="A49" s="434"/>
      <c r="B49" s="437"/>
      <c r="C49" s="450"/>
      <c r="D49" s="453"/>
      <c r="E49" s="456"/>
      <c r="F49" s="447"/>
      <c r="G49" s="447"/>
      <c r="H49" s="72"/>
    </row>
    <row r="50" spans="1:12" x14ac:dyDescent="0.3">
      <c r="A50" s="434"/>
      <c r="B50" s="437"/>
      <c r="C50" s="450"/>
      <c r="D50" s="453"/>
      <c r="E50" s="456"/>
      <c r="F50" s="447"/>
      <c r="G50" s="447"/>
      <c r="H50" s="72"/>
    </row>
    <row r="51" spans="1:12" x14ac:dyDescent="0.3">
      <c r="A51" s="434"/>
      <c r="B51" s="437"/>
      <c r="C51" s="450"/>
      <c r="D51" s="453"/>
      <c r="E51" s="456"/>
      <c r="F51" s="447"/>
      <c r="G51" s="447"/>
      <c r="H51" s="72"/>
    </row>
    <row r="52" spans="1:12" x14ac:dyDescent="0.3">
      <c r="A52" s="434"/>
      <c r="B52" s="437"/>
      <c r="C52" s="450"/>
      <c r="D52" s="453"/>
      <c r="E52" s="456"/>
      <c r="F52" s="447"/>
      <c r="G52" s="447"/>
      <c r="H52" s="72"/>
    </row>
    <row r="53" spans="1:12" ht="17.25" thickBot="1" x14ac:dyDescent="0.35">
      <c r="A53" s="435"/>
      <c r="B53" s="438"/>
      <c r="C53" s="451"/>
      <c r="D53" s="454"/>
      <c r="E53" s="457"/>
      <c r="F53" s="448"/>
      <c r="G53" s="448"/>
      <c r="H53" s="72"/>
    </row>
    <row r="54" spans="1:12" x14ac:dyDescent="0.3">
      <c r="A54" s="232"/>
      <c r="B54" s="234"/>
      <c r="C54" s="234"/>
      <c r="D54" s="234"/>
      <c r="E54" s="234"/>
      <c r="F54" s="235"/>
      <c r="G54" s="235"/>
      <c r="H54" s="72"/>
      <c r="I54" s="72"/>
      <c r="J54" s="280"/>
      <c r="K54" s="280"/>
      <c r="L54" s="72"/>
    </row>
    <row r="55" spans="1:12" x14ac:dyDescent="0.3">
      <c r="A55" s="232"/>
      <c r="B55" s="234"/>
      <c r="C55" s="234"/>
      <c r="D55" s="234"/>
      <c r="E55" s="234"/>
      <c r="F55" s="235"/>
      <c r="G55" s="235"/>
      <c r="H55" s="72"/>
      <c r="I55" s="72"/>
      <c r="J55" s="72"/>
      <c r="K55" s="72"/>
      <c r="L55" s="72"/>
    </row>
    <row r="56" spans="1:12" ht="17.25" thickBot="1" x14ac:dyDescent="0.35"/>
    <row r="57" spans="1:12" ht="17.25" thickBot="1" x14ac:dyDescent="0.35">
      <c r="A57" s="384" t="s">
        <v>168</v>
      </c>
      <c r="B57" s="385"/>
      <c r="C57" s="385"/>
      <c r="D57" s="385"/>
      <c r="E57" s="385"/>
      <c r="F57" s="385"/>
      <c r="G57" s="385"/>
      <c r="H57" s="385"/>
      <c r="I57" s="385"/>
      <c r="J57" s="385"/>
      <c r="K57" s="385"/>
      <c r="L57" s="385"/>
    </row>
    <row r="58" spans="1:12" ht="17.25" thickBot="1" x14ac:dyDescent="0.35"/>
    <row r="59" spans="1:12" ht="17.25" thickBot="1" x14ac:dyDescent="0.35">
      <c r="A59" s="386" t="s">
        <v>119</v>
      </c>
      <c r="B59" s="387"/>
      <c r="C59" s="387"/>
      <c r="D59" s="387"/>
      <c r="E59" s="387"/>
      <c r="F59" s="387"/>
      <c r="G59" s="228"/>
      <c r="H59" s="388" t="s">
        <v>120</v>
      </c>
      <c r="I59" s="389"/>
      <c r="J59" s="389"/>
      <c r="K59" s="389"/>
      <c r="L59" s="389"/>
    </row>
    <row r="60" spans="1:12" x14ac:dyDescent="0.3">
      <c r="A60" s="390" t="s">
        <v>169</v>
      </c>
      <c r="B60" s="391"/>
      <c r="C60" s="391"/>
      <c r="D60" s="391"/>
      <c r="E60" s="391"/>
      <c r="F60" s="391"/>
      <c r="G60" s="229"/>
      <c r="H60" s="394" t="s">
        <v>170</v>
      </c>
      <c r="I60" s="395"/>
      <c r="J60" s="395"/>
      <c r="K60" s="395"/>
      <c r="L60" s="396"/>
    </row>
    <row r="61" spans="1:12" ht="101.25" customHeight="1" thickBot="1" x14ac:dyDescent="0.35">
      <c r="A61" s="392"/>
      <c r="B61" s="393"/>
      <c r="C61" s="393"/>
      <c r="D61" s="393"/>
      <c r="E61" s="393"/>
      <c r="F61" s="393"/>
      <c r="G61" s="73"/>
      <c r="H61" s="354"/>
      <c r="I61" s="397"/>
      <c r="J61" s="397"/>
      <c r="K61" s="397"/>
      <c r="L61" s="398"/>
    </row>
    <row r="62" spans="1:12" ht="17.25" thickBot="1" x14ac:dyDescent="0.35">
      <c r="A62" s="406" t="s">
        <v>123</v>
      </c>
      <c r="B62" s="407"/>
      <c r="C62" s="407"/>
      <c r="D62" s="408"/>
      <c r="E62" s="439" t="s">
        <v>124</v>
      </c>
      <c r="F62" s="440"/>
      <c r="G62" s="230"/>
      <c r="H62" s="406" t="s">
        <v>125</v>
      </c>
      <c r="I62" s="480"/>
      <c r="J62" s="480"/>
      <c r="K62" s="480"/>
      <c r="L62" s="480"/>
    </row>
    <row r="63" spans="1:12" x14ac:dyDescent="0.3">
      <c r="A63" s="409" t="s">
        <v>171</v>
      </c>
      <c r="B63" s="395"/>
      <c r="C63" s="395"/>
      <c r="D63" s="396"/>
      <c r="E63" s="459" t="s">
        <v>172</v>
      </c>
      <c r="F63" s="460"/>
      <c r="G63" s="227"/>
      <c r="H63" s="120"/>
      <c r="I63" s="481" t="s">
        <v>173</v>
      </c>
      <c r="J63" s="482"/>
      <c r="K63" s="287">
        <v>723</v>
      </c>
      <c r="L63" s="117" t="s">
        <v>174</v>
      </c>
    </row>
    <row r="64" spans="1:12" ht="18" x14ac:dyDescent="0.3">
      <c r="A64" s="410"/>
      <c r="B64" s="411"/>
      <c r="C64" s="411"/>
      <c r="D64" s="412"/>
      <c r="E64" s="410"/>
      <c r="F64" s="412"/>
      <c r="G64" s="227"/>
      <c r="H64" s="122"/>
      <c r="I64" s="483" t="s">
        <v>175</v>
      </c>
      <c r="J64" s="486" t="s">
        <v>176</v>
      </c>
      <c r="K64" s="113">
        <v>4.0000000000000001E-3</v>
      </c>
      <c r="L64" s="118" t="s">
        <v>177</v>
      </c>
    </row>
    <row r="65" spans="1:12" ht="18" x14ac:dyDescent="0.3">
      <c r="A65" s="410"/>
      <c r="B65" s="411"/>
      <c r="C65" s="411"/>
      <c r="D65" s="412"/>
      <c r="E65" s="410"/>
      <c r="F65" s="412"/>
      <c r="G65" s="227"/>
      <c r="H65" s="122"/>
      <c r="I65" s="484"/>
      <c r="J65" s="487"/>
      <c r="K65" s="113">
        <f>0.24*(1/1000)</f>
        <v>2.4000000000000001E-4</v>
      </c>
      <c r="L65" s="118" t="s">
        <v>178</v>
      </c>
    </row>
    <row r="66" spans="1:12" ht="54.75" customHeight="1" thickBot="1" x14ac:dyDescent="0.35">
      <c r="A66" s="410"/>
      <c r="B66" s="411"/>
      <c r="C66" s="411"/>
      <c r="D66" s="412"/>
      <c r="E66" s="410"/>
      <c r="F66" s="412"/>
      <c r="G66" s="227"/>
      <c r="H66" s="122"/>
      <c r="I66" s="485"/>
      <c r="J66" s="116" t="s">
        <v>179</v>
      </c>
      <c r="K66" s="113">
        <v>5.1900000000000002E-2</v>
      </c>
      <c r="L66" s="118" t="s">
        <v>177</v>
      </c>
    </row>
    <row r="67" spans="1:12" ht="18.75" thickBot="1" x14ac:dyDescent="0.35">
      <c r="A67" s="406" t="s">
        <v>134</v>
      </c>
      <c r="B67" s="407"/>
      <c r="C67" s="407"/>
      <c r="D67" s="408"/>
      <c r="E67" s="439" t="s">
        <v>148</v>
      </c>
      <c r="F67" s="440"/>
      <c r="G67" s="230"/>
      <c r="H67" s="122"/>
      <c r="I67" s="483" t="s">
        <v>180</v>
      </c>
      <c r="J67" s="116" t="s">
        <v>181</v>
      </c>
      <c r="K67" s="114">
        <f>(K63*K64*21)+(K63*K65*310)</f>
        <v>114.5232</v>
      </c>
      <c r="L67" s="489" t="s">
        <v>182</v>
      </c>
    </row>
    <row r="68" spans="1:12" ht="17.25" thickBot="1" x14ac:dyDescent="0.35">
      <c r="A68" s="413">
        <v>2021</v>
      </c>
      <c r="B68" s="414"/>
      <c r="C68" s="414"/>
      <c r="D68" s="415"/>
      <c r="E68" s="444">
        <f>K70</f>
        <v>0.67347450000000009</v>
      </c>
      <c r="F68" s="445"/>
      <c r="G68" s="232"/>
      <c r="H68" s="122"/>
      <c r="I68" s="485"/>
      <c r="J68" s="116" t="s">
        <v>179</v>
      </c>
      <c r="K68" s="114">
        <f>K63*K66*21</f>
        <v>787.99770000000001</v>
      </c>
      <c r="L68" s="490"/>
    </row>
    <row r="69" spans="1:12" ht="17.25" thickBot="1" x14ac:dyDescent="0.35">
      <c r="A69" s="403" t="s">
        <v>137</v>
      </c>
      <c r="B69" s="404"/>
      <c r="C69" s="404"/>
      <c r="D69" s="404"/>
      <c r="E69" s="404"/>
      <c r="F69" s="405"/>
      <c r="G69" s="231"/>
      <c r="H69" s="122"/>
      <c r="I69" s="492" t="s">
        <v>132</v>
      </c>
      <c r="J69" s="493"/>
      <c r="K69" s="115">
        <f>K68-K67</f>
        <v>673.47450000000003</v>
      </c>
      <c r="L69" s="491"/>
    </row>
    <row r="70" spans="1:12" ht="33" x14ac:dyDescent="0.3">
      <c r="A70" s="104" t="s">
        <v>183</v>
      </c>
      <c r="B70" s="105">
        <v>2021</v>
      </c>
      <c r="C70" s="105">
        <v>2022</v>
      </c>
      <c r="D70" s="105"/>
      <c r="E70" s="105"/>
      <c r="F70" s="106"/>
      <c r="G70" s="232"/>
      <c r="H70" s="122"/>
      <c r="I70" s="494"/>
      <c r="J70" s="495"/>
      <c r="K70" s="119">
        <f>K69/1000</f>
        <v>0.67347450000000009</v>
      </c>
      <c r="L70" s="101" t="s">
        <v>136</v>
      </c>
    </row>
    <row r="71" spans="1:12" x14ac:dyDescent="0.3">
      <c r="A71" s="107" t="s">
        <v>174</v>
      </c>
      <c r="B71" s="108">
        <v>2076</v>
      </c>
      <c r="C71" s="108">
        <v>723</v>
      </c>
      <c r="D71" s="108"/>
      <c r="E71" s="108"/>
      <c r="F71" s="109"/>
      <c r="G71" s="233"/>
      <c r="H71" s="110"/>
      <c r="I71" s="111"/>
      <c r="J71" s="111"/>
      <c r="K71" s="111"/>
      <c r="L71" s="112"/>
    </row>
    <row r="73" spans="1:12" ht="17.25" thickBot="1" x14ac:dyDescent="0.35"/>
    <row r="74" spans="1:12" ht="17.25" thickBot="1" x14ac:dyDescent="0.35">
      <c r="A74" s="384" t="s">
        <v>184</v>
      </c>
      <c r="B74" s="385"/>
      <c r="C74" s="385"/>
      <c r="D74" s="385"/>
      <c r="E74" s="385"/>
      <c r="F74" s="385"/>
      <c r="G74" s="385"/>
      <c r="H74" s="385"/>
      <c r="I74" s="385"/>
      <c r="J74" s="385"/>
      <c r="K74" s="385"/>
      <c r="L74" s="385"/>
    </row>
    <row r="75" spans="1:12" x14ac:dyDescent="0.3">
      <c r="C75" s="1" t="str">
        <f>E28</f>
        <v>t CO2e reducidas en el periodo</v>
      </c>
    </row>
    <row r="76" spans="1:12" x14ac:dyDescent="0.3">
      <c r="A76" s="1" t="str">
        <f>A2</f>
        <v>Proyecto: Complejo Solar TEC</v>
      </c>
      <c r="C76" s="137">
        <f>E13</f>
        <v>21.792192900000003</v>
      </c>
    </row>
    <row r="77" spans="1:12" x14ac:dyDescent="0.3">
      <c r="A77" s="1" t="str">
        <f>A18</f>
        <v>Proyecto: Recorridos en bicicletas eléctricas.</v>
      </c>
      <c r="C77" s="138">
        <f>E29</f>
        <v>0.1264963396503781</v>
      </c>
    </row>
    <row r="78" spans="1:12" x14ac:dyDescent="0.3">
      <c r="A78" s="1" t="s">
        <v>185</v>
      </c>
      <c r="C78" s="137">
        <f>E45</f>
        <v>1.0308870000000001</v>
      </c>
    </row>
    <row r="79" spans="1:12" x14ac:dyDescent="0.3">
      <c r="A79" s="1" t="s">
        <v>186</v>
      </c>
      <c r="C79" s="138">
        <f>E68</f>
        <v>0.67347450000000009</v>
      </c>
    </row>
    <row r="80" spans="1:12" x14ac:dyDescent="0.3">
      <c r="A80" s="1" t="s">
        <v>187</v>
      </c>
      <c r="C80" s="138">
        <f>Combustible!G135</f>
        <v>1.5595479999999997</v>
      </c>
    </row>
    <row r="81" spans="1:12" ht="16.149999999999999" customHeight="1" x14ac:dyDescent="0.3">
      <c r="A81" s="496" t="s">
        <v>188</v>
      </c>
      <c r="B81" s="496"/>
      <c r="C81" s="293">
        <f>SUM(C76:C80)</f>
        <v>25.182598739650381</v>
      </c>
    </row>
    <row r="82" spans="1:12" ht="17.25" thickBot="1" x14ac:dyDescent="0.35"/>
    <row r="83" spans="1:12" ht="17.25" thickBot="1" x14ac:dyDescent="0.35">
      <c r="A83" s="384" t="s">
        <v>189</v>
      </c>
      <c r="B83" s="385"/>
      <c r="C83" s="385"/>
      <c r="D83" s="385"/>
      <c r="E83" s="385"/>
      <c r="F83" s="385"/>
      <c r="G83" s="385"/>
      <c r="H83" s="385"/>
      <c r="I83" s="385"/>
      <c r="J83" s="385"/>
      <c r="K83" s="385"/>
      <c r="L83" s="385"/>
    </row>
    <row r="84" spans="1:12" s="317" customFormat="1" x14ac:dyDescent="0.3">
      <c r="A84" s="488" t="s">
        <v>190</v>
      </c>
      <c r="B84" s="488"/>
      <c r="C84" s="319" t="s">
        <v>191</v>
      </c>
      <c r="D84" s="318"/>
      <c r="E84" s="318"/>
      <c r="F84" s="318"/>
      <c r="G84" s="318"/>
      <c r="H84" s="318"/>
      <c r="I84" s="318"/>
      <c r="J84" s="318"/>
      <c r="K84" s="318"/>
      <c r="L84" s="318"/>
    </row>
    <row r="85" spans="1:12" x14ac:dyDescent="0.3">
      <c r="A85" s="1" t="s">
        <v>192</v>
      </c>
      <c r="B85" s="1">
        <v>6562</v>
      </c>
      <c r="C85" s="1">
        <f>$C$81/B85</f>
        <v>3.8376407710530905E-3</v>
      </c>
    </row>
    <row r="86" spans="1:12" x14ac:dyDescent="0.3">
      <c r="A86" s="1" t="s">
        <v>193</v>
      </c>
      <c r="B86" s="1">
        <v>1160</v>
      </c>
      <c r="C86" s="1">
        <f>$C$81/B86</f>
        <v>2.1709136844526189E-2</v>
      </c>
    </row>
    <row r="87" spans="1:12" x14ac:dyDescent="0.3">
      <c r="A87" s="1" t="s">
        <v>2</v>
      </c>
      <c r="B87" s="1">
        <f>B85+B86</f>
        <v>7722</v>
      </c>
      <c r="C87" s="1">
        <f>$C$81/B87</f>
        <v>3.2611497979345224E-3</v>
      </c>
    </row>
  </sheetData>
  <mergeCells count="86">
    <mergeCell ref="A83:L83"/>
    <mergeCell ref="A84:B84"/>
    <mergeCell ref="I67:I68"/>
    <mergeCell ref="L67:L69"/>
    <mergeCell ref="A68:D68"/>
    <mergeCell ref="E68:F68"/>
    <mergeCell ref="A69:F69"/>
    <mergeCell ref="I69:J70"/>
    <mergeCell ref="A81:B81"/>
    <mergeCell ref="A67:D67"/>
    <mergeCell ref="E67:F67"/>
    <mergeCell ref="A74:L74"/>
    <mergeCell ref="A62:D62"/>
    <mergeCell ref="E62:F62"/>
    <mergeCell ref="H62:L62"/>
    <mergeCell ref="A63:D66"/>
    <mergeCell ref="E63:F66"/>
    <mergeCell ref="I63:J63"/>
    <mergeCell ref="I64:I66"/>
    <mergeCell ref="J64:J65"/>
    <mergeCell ref="H24:L24"/>
    <mergeCell ref="H29:L29"/>
    <mergeCell ref="H26:L26"/>
    <mergeCell ref="A39:D39"/>
    <mergeCell ref="E39:F39"/>
    <mergeCell ref="I39:L39"/>
    <mergeCell ref="A34:L34"/>
    <mergeCell ref="A36:F36"/>
    <mergeCell ref="H36:L36"/>
    <mergeCell ref="A29:D29"/>
    <mergeCell ref="E29:F29"/>
    <mergeCell ref="A30:F30"/>
    <mergeCell ref="A24:D27"/>
    <mergeCell ref="E24:F27"/>
    <mergeCell ref="A28:D28"/>
    <mergeCell ref="E28:F28"/>
    <mergeCell ref="A21:F22"/>
    <mergeCell ref="H21:L22"/>
    <mergeCell ref="A23:D23"/>
    <mergeCell ref="E23:F23"/>
    <mergeCell ref="H23:L23"/>
    <mergeCell ref="A40:D43"/>
    <mergeCell ref="E40:F43"/>
    <mergeCell ref="I43:I44"/>
    <mergeCell ref="A37:F38"/>
    <mergeCell ref="H37:L38"/>
    <mergeCell ref="A47:A53"/>
    <mergeCell ref="B48:B53"/>
    <mergeCell ref="I40:L40"/>
    <mergeCell ref="I46:K46"/>
    <mergeCell ref="I47:K47"/>
    <mergeCell ref="I48:K48"/>
    <mergeCell ref="A44:D44"/>
    <mergeCell ref="E44:F44"/>
    <mergeCell ref="A45:D45"/>
    <mergeCell ref="E45:F45"/>
    <mergeCell ref="A46:F46"/>
    <mergeCell ref="G47:G53"/>
    <mergeCell ref="C48:C53"/>
    <mergeCell ref="D48:D53"/>
    <mergeCell ref="E48:E53"/>
    <mergeCell ref="F48:F53"/>
    <mergeCell ref="A2:L2"/>
    <mergeCell ref="A4:F4"/>
    <mergeCell ref="H4:L4"/>
    <mergeCell ref="H5:L6"/>
    <mergeCell ref="A5:G6"/>
    <mergeCell ref="H7:L7"/>
    <mergeCell ref="I11:I12"/>
    <mergeCell ref="A18:L18"/>
    <mergeCell ref="A20:F20"/>
    <mergeCell ref="H20:L20"/>
    <mergeCell ref="A14:F14"/>
    <mergeCell ref="A7:D7"/>
    <mergeCell ref="A8:D11"/>
    <mergeCell ref="A12:D12"/>
    <mergeCell ref="A13:D13"/>
    <mergeCell ref="E7:G7"/>
    <mergeCell ref="E8:G11"/>
    <mergeCell ref="E12:G12"/>
    <mergeCell ref="E13:G13"/>
    <mergeCell ref="A57:L57"/>
    <mergeCell ref="A59:F59"/>
    <mergeCell ref="H59:L59"/>
    <mergeCell ref="A60:F61"/>
    <mergeCell ref="H60:L6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957A-A48C-4007-A99A-57F591C4C039}">
  <dimension ref="A1:X212"/>
  <sheetViews>
    <sheetView showGridLines="0" topLeftCell="K168" zoomScale="70" zoomScaleNormal="55" workbookViewId="0">
      <selection activeCell="V163" sqref="V163"/>
    </sheetView>
  </sheetViews>
  <sheetFormatPr baseColWidth="10" defaultColWidth="10" defaultRowHeight="15.75" x14ac:dyDescent="0.25"/>
  <cols>
    <col min="1" max="1" width="10" style="139"/>
    <col min="2" max="2" width="5.25" style="139" customWidth="1"/>
    <col min="3" max="3" width="10" style="139" hidden="1" customWidth="1"/>
    <col min="4" max="4" width="14.75" style="139" customWidth="1"/>
    <col min="5" max="5" width="39" style="139" customWidth="1"/>
    <col min="6" max="6" width="14.75" style="139" customWidth="1"/>
    <col min="7" max="7" width="40" style="139" customWidth="1"/>
    <col min="8" max="8" width="10.125" style="139" bestFit="1" customWidth="1"/>
    <col min="9" max="9" width="18.875" style="139" customWidth="1"/>
    <col min="10" max="10" width="22.75" style="139" customWidth="1"/>
    <col min="11" max="11" width="12.875" style="139" bestFit="1" customWidth="1"/>
    <col min="12" max="12" width="10" style="139"/>
    <col min="13" max="13" width="12.25" style="139" customWidth="1"/>
    <col min="14" max="14" width="13.25" style="139" customWidth="1"/>
    <col min="15" max="15" width="14.625" style="139" bestFit="1" customWidth="1"/>
    <col min="16" max="16" width="10.625" style="139" customWidth="1"/>
    <col min="17" max="17" width="25.125" style="139" bestFit="1" customWidth="1"/>
    <col min="18" max="18" width="14.75" style="139" customWidth="1"/>
    <col min="19" max="19" width="16" style="139" customWidth="1"/>
    <col min="20" max="20" width="15.75" style="139" customWidth="1"/>
    <col min="21" max="21" width="19.25" style="140" customWidth="1"/>
    <col min="22" max="22" width="21.75" style="141" customWidth="1"/>
    <col min="23" max="23" width="18.75" style="139" customWidth="1"/>
    <col min="24" max="24" width="17.25" style="139" customWidth="1"/>
    <col min="25" max="16384" width="10" style="139"/>
  </cols>
  <sheetData>
    <row r="1" spans="1:24" ht="16.5" thickBot="1" x14ac:dyDescent="0.3"/>
    <row r="2" spans="1:24" ht="27" x14ac:dyDescent="0.25">
      <c r="A2" s="521"/>
      <c r="B2" s="521"/>
      <c r="C2" s="521"/>
      <c r="D2" s="521"/>
      <c r="E2" s="521"/>
      <c r="F2" s="521"/>
      <c r="G2" s="521"/>
      <c r="H2" s="521"/>
      <c r="I2" s="521"/>
      <c r="J2" s="521"/>
      <c r="K2" s="521"/>
      <c r="L2" s="521"/>
      <c r="M2" s="521"/>
      <c r="N2" s="521"/>
      <c r="O2" s="521"/>
      <c r="P2" s="521"/>
      <c r="Q2" s="521"/>
      <c r="R2" s="521"/>
      <c r="S2" s="521"/>
      <c r="T2" s="521"/>
      <c r="U2" s="521"/>
      <c r="V2" s="521"/>
      <c r="W2" s="521"/>
      <c r="X2" s="521"/>
    </row>
    <row r="3" spans="1:24" ht="27" x14ac:dyDescent="0.25">
      <c r="A3" s="522"/>
      <c r="B3" s="522"/>
      <c r="C3" s="522"/>
      <c r="D3" s="522"/>
      <c r="E3" s="522"/>
      <c r="F3" s="522"/>
      <c r="G3" s="522"/>
      <c r="H3" s="522"/>
      <c r="I3" s="522"/>
      <c r="J3" s="522"/>
      <c r="K3" s="522"/>
      <c r="L3" s="522"/>
      <c r="M3" s="522"/>
      <c r="N3" s="522"/>
      <c r="O3" s="522"/>
      <c r="P3" s="522"/>
      <c r="Q3" s="522"/>
      <c r="R3" s="522"/>
      <c r="S3" s="522"/>
      <c r="T3" s="522"/>
      <c r="U3" s="522"/>
      <c r="V3" s="522"/>
      <c r="W3" s="522"/>
      <c r="X3" s="522"/>
    </row>
    <row r="4" spans="1:24" ht="31.5" customHeight="1" thickBot="1" x14ac:dyDescent="0.3">
      <c r="A4" s="523"/>
      <c r="B4" s="523"/>
      <c r="C4" s="523"/>
      <c r="D4" s="523"/>
      <c r="E4" s="523"/>
      <c r="F4" s="523"/>
      <c r="G4" s="523"/>
      <c r="H4" s="523"/>
      <c r="I4" s="523"/>
      <c r="J4" s="523"/>
      <c r="K4" s="523"/>
      <c r="L4" s="523"/>
      <c r="M4" s="523"/>
      <c r="N4" s="523"/>
      <c r="O4" s="523"/>
      <c r="P4" s="523"/>
      <c r="Q4" s="523"/>
      <c r="R4" s="523"/>
      <c r="S4" s="523"/>
      <c r="T4" s="523"/>
      <c r="U4" s="523"/>
      <c r="V4" s="523"/>
      <c r="W4" s="523"/>
      <c r="X4" s="523"/>
    </row>
    <row r="5" spans="1:24" ht="16.5" thickBot="1" x14ac:dyDescent="0.3">
      <c r="A5" s="140"/>
      <c r="B5" s="140"/>
      <c r="C5" s="140"/>
      <c r="D5" s="140"/>
      <c r="E5" s="140"/>
      <c r="F5" s="140"/>
      <c r="G5" s="140"/>
      <c r="H5" s="140"/>
      <c r="I5" s="140"/>
      <c r="J5" s="140"/>
      <c r="K5" s="140"/>
      <c r="L5" s="140"/>
      <c r="M5" s="140"/>
      <c r="N5" s="140"/>
      <c r="O5" s="140"/>
      <c r="P5" s="140"/>
      <c r="Q5" s="140"/>
      <c r="R5" s="140"/>
      <c r="S5" s="140"/>
      <c r="T5" s="140"/>
    </row>
    <row r="6" spans="1:24" ht="15.75" customHeight="1" x14ac:dyDescent="0.25">
      <c r="D6" s="524" t="s">
        <v>55</v>
      </c>
      <c r="E6" s="525"/>
      <c r="F6" s="526"/>
      <c r="G6" s="524" t="s">
        <v>194</v>
      </c>
      <c r="H6" s="525"/>
      <c r="I6" s="525"/>
      <c r="J6" s="525"/>
      <c r="K6" s="525"/>
      <c r="L6" s="525"/>
      <c r="M6" s="525"/>
      <c r="N6" s="525"/>
      <c r="O6" s="525"/>
      <c r="P6" s="525"/>
      <c r="Q6" s="525"/>
      <c r="R6" s="525"/>
      <c r="S6" s="525"/>
      <c r="T6" s="525"/>
      <c r="U6" s="525"/>
      <c r="V6" s="525"/>
      <c r="W6" s="526"/>
    </row>
    <row r="7" spans="1:24" ht="15.75" customHeight="1" x14ac:dyDescent="0.25">
      <c r="D7" s="527"/>
      <c r="E7" s="528"/>
      <c r="F7" s="529"/>
      <c r="G7" s="527"/>
      <c r="H7" s="528"/>
      <c r="I7" s="528"/>
      <c r="J7" s="528"/>
      <c r="K7" s="528"/>
      <c r="L7" s="528"/>
      <c r="M7" s="528"/>
      <c r="N7" s="528"/>
      <c r="O7" s="528"/>
      <c r="P7" s="528"/>
      <c r="Q7" s="528"/>
      <c r="R7" s="528"/>
      <c r="S7" s="528"/>
      <c r="T7" s="528"/>
      <c r="U7" s="528"/>
      <c r="V7" s="528"/>
      <c r="W7" s="529"/>
    </row>
    <row r="8" spans="1:24" ht="16.5" customHeight="1" thickBot="1" x14ac:dyDescent="0.3">
      <c r="D8" s="530"/>
      <c r="E8" s="531"/>
      <c r="F8" s="532"/>
      <c r="G8" s="530"/>
      <c r="H8" s="531"/>
      <c r="I8" s="531"/>
      <c r="J8" s="531"/>
      <c r="K8" s="531"/>
      <c r="L8" s="531"/>
      <c r="M8" s="531"/>
      <c r="N8" s="531"/>
      <c r="O8" s="531"/>
      <c r="P8" s="531"/>
      <c r="Q8" s="531"/>
      <c r="R8" s="531"/>
      <c r="S8" s="531"/>
      <c r="T8" s="531"/>
      <c r="U8" s="531"/>
      <c r="V8" s="531"/>
      <c r="W8" s="532"/>
    </row>
    <row r="9" spans="1:24" ht="16.5" thickBot="1" x14ac:dyDescent="0.3"/>
    <row r="10" spans="1:24" ht="16.5" customHeight="1" thickBot="1" x14ac:dyDescent="0.3">
      <c r="D10" s="533">
        <v>2018</v>
      </c>
      <c r="E10" s="534"/>
      <c r="F10" s="534"/>
      <c r="G10" s="534"/>
      <c r="H10" s="534"/>
      <c r="I10" s="534"/>
      <c r="J10" s="534"/>
      <c r="K10" s="535"/>
      <c r="M10" s="524" t="s">
        <v>195</v>
      </c>
      <c r="N10" s="525"/>
      <c r="O10" s="525"/>
      <c r="P10" s="525"/>
      <c r="Q10" s="525"/>
      <c r="R10" s="525"/>
      <c r="S10" s="525"/>
      <c r="T10" s="525"/>
      <c r="U10" s="525"/>
      <c r="V10" s="525"/>
      <c r="W10" s="526"/>
    </row>
    <row r="11" spans="1:24" ht="16.5" thickBot="1" x14ac:dyDescent="0.3">
      <c r="D11" s="536" t="s">
        <v>119</v>
      </c>
      <c r="E11" s="537"/>
      <c r="F11" s="537"/>
      <c r="G11" s="537"/>
      <c r="H11" s="536" t="s">
        <v>196</v>
      </c>
      <c r="I11" s="537"/>
      <c r="J11" s="537"/>
      <c r="K11" s="538"/>
      <c r="M11" s="527"/>
      <c r="N11" s="528"/>
      <c r="O11" s="528"/>
      <c r="P11" s="528"/>
      <c r="Q11" s="528"/>
      <c r="R11" s="528"/>
      <c r="S11" s="528"/>
      <c r="T11" s="528"/>
      <c r="U11" s="528"/>
      <c r="V11" s="528"/>
      <c r="W11" s="529"/>
    </row>
    <row r="12" spans="1:24" ht="16.5" customHeight="1" thickBot="1" x14ac:dyDescent="0.3">
      <c r="D12" s="497" t="s">
        <v>197</v>
      </c>
      <c r="E12" s="498"/>
      <c r="F12" s="498"/>
      <c r="G12" s="499"/>
      <c r="H12" s="497" t="s">
        <v>198</v>
      </c>
      <c r="I12" s="498"/>
      <c r="J12" s="498"/>
      <c r="K12" s="499"/>
      <c r="M12" s="527"/>
      <c r="N12" s="528"/>
      <c r="O12" s="528"/>
      <c r="P12" s="528"/>
      <c r="Q12" s="528"/>
      <c r="R12" s="528"/>
      <c r="S12" s="528"/>
      <c r="T12" s="528"/>
      <c r="U12" s="528"/>
      <c r="V12" s="528"/>
      <c r="W12" s="529"/>
    </row>
    <row r="13" spans="1:24" ht="50.25" x14ac:dyDescent="0.25">
      <c r="D13" s="500"/>
      <c r="E13" s="501"/>
      <c r="F13" s="501"/>
      <c r="G13" s="502"/>
      <c r="H13" s="500"/>
      <c r="I13" s="501"/>
      <c r="J13" s="501"/>
      <c r="K13" s="502"/>
      <c r="M13" s="142" t="s">
        <v>199</v>
      </c>
      <c r="N13" s="143" t="s">
        <v>200</v>
      </c>
      <c r="O13" s="143" t="s">
        <v>201</v>
      </c>
      <c r="P13" s="143" t="s">
        <v>202</v>
      </c>
      <c r="Q13" s="143" t="s">
        <v>203</v>
      </c>
      <c r="R13" s="144" t="s">
        <v>204</v>
      </c>
      <c r="S13" s="144" t="s">
        <v>205</v>
      </c>
      <c r="T13" s="144" t="s">
        <v>206</v>
      </c>
      <c r="U13" s="225" t="s">
        <v>207</v>
      </c>
      <c r="V13" s="144" t="s">
        <v>208</v>
      </c>
      <c r="W13" s="145" t="s">
        <v>209</v>
      </c>
    </row>
    <row r="14" spans="1:24" x14ac:dyDescent="0.25">
      <c r="D14" s="500"/>
      <c r="E14" s="501"/>
      <c r="F14" s="501"/>
      <c r="G14" s="502"/>
      <c r="H14" s="500"/>
      <c r="I14" s="501"/>
      <c r="J14" s="501"/>
      <c r="K14" s="502"/>
      <c r="M14" s="146">
        <v>1</v>
      </c>
      <c r="N14" s="147">
        <v>43137</v>
      </c>
      <c r="O14" s="148" t="s">
        <v>210</v>
      </c>
      <c r="P14" s="148" t="s">
        <v>211</v>
      </c>
      <c r="Q14" s="148">
        <v>211</v>
      </c>
      <c r="R14" s="265">
        <v>0.3</v>
      </c>
      <c r="S14" s="148">
        <f>34*2</f>
        <v>68</v>
      </c>
      <c r="T14" s="148">
        <v>2</v>
      </c>
      <c r="U14" s="226">
        <f>R14*S14*T14</f>
        <v>40.799999999999997</v>
      </c>
      <c r="V14" s="148">
        <f>R14*S14</f>
        <v>20.399999999999999</v>
      </c>
      <c r="W14" s="150">
        <f>U14-V14</f>
        <v>20.399999999999999</v>
      </c>
    </row>
    <row r="15" spans="1:24" x14ac:dyDescent="0.25">
      <c r="D15" s="500"/>
      <c r="E15" s="501"/>
      <c r="F15" s="501"/>
      <c r="G15" s="502"/>
      <c r="H15" s="500"/>
      <c r="I15" s="501"/>
      <c r="J15" s="501"/>
      <c r="K15" s="502"/>
      <c r="M15" s="146">
        <v>2</v>
      </c>
      <c r="N15" s="147">
        <v>43147</v>
      </c>
      <c r="O15" s="148" t="s">
        <v>210</v>
      </c>
      <c r="P15" s="148" t="s">
        <v>211</v>
      </c>
      <c r="Q15" s="148">
        <v>171</v>
      </c>
      <c r="R15" s="149">
        <v>0.4</v>
      </c>
      <c r="S15" s="148">
        <f>34*2</f>
        <v>68</v>
      </c>
      <c r="T15" s="148">
        <v>3</v>
      </c>
      <c r="U15" s="263">
        <f t="shared" ref="U15:U78" si="0">R15*S15*T15</f>
        <v>81.600000000000009</v>
      </c>
      <c r="V15" s="148">
        <f t="shared" ref="V15:V78" si="1">R15*S15</f>
        <v>27.200000000000003</v>
      </c>
      <c r="W15" s="150">
        <f t="shared" ref="W15:W78" si="2">U15-V15</f>
        <v>54.400000000000006</v>
      </c>
    </row>
    <row r="16" spans="1:24" x14ac:dyDescent="0.25">
      <c r="D16" s="500"/>
      <c r="E16" s="501"/>
      <c r="F16" s="501"/>
      <c r="G16" s="502"/>
      <c r="H16" s="500"/>
      <c r="I16" s="501"/>
      <c r="J16" s="501"/>
      <c r="K16" s="502"/>
      <c r="M16" s="146">
        <v>3</v>
      </c>
      <c r="N16" s="147">
        <v>43158</v>
      </c>
      <c r="O16" s="148" t="s">
        <v>210</v>
      </c>
      <c r="P16" s="148" t="s">
        <v>211</v>
      </c>
      <c r="Q16" s="148">
        <v>212</v>
      </c>
      <c r="R16" s="149">
        <v>0.33</v>
      </c>
      <c r="S16" s="148">
        <f>34*2</f>
        <v>68</v>
      </c>
      <c r="T16" s="148">
        <v>2</v>
      </c>
      <c r="U16" s="148">
        <f t="shared" si="0"/>
        <v>44.88</v>
      </c>
      <c r="V16" s="148">
        <f t="shared" si="1"/>
        <v>22.44</v>
      </c>
      <c r="W16" s="150">
        <f t="shared" si="2"/>
        <v>22.44</v>
      </c>
    </row>
    <row r="17" spans="4:23" ht="179.25" customHeight="1" thickBot="1" x14ac:dyDescent="0.3">
      <c r="D17" s="503"/>
      <c r="E17" s="504"/>
      <c r="F17" s="504"/>
      <c r="G17" s="505"/>
      <c r="H17" s="503"/>
      <c r="I17" s="504"/>
      <c r="J17" s="504"/>
      <c r="K17" s="505"/>
      <c r="M17" s="146">
        <v>4</v>
      </c>
      <c r="N17" s="147">
        <v>43158</v>
      </c>
      <c r="O17" s="148" t="s">
        <v>210</v>
      </c>
      <c r="P17" s="148" t="s">
        <v>212</v>
      </c>
      <c r="Q17" s="148">
        <v>211</v>
      </c>
      <c r="R17" s="149">
        <v>0.3</v>
      </c>
      <c r="S17" s="148">
        <f>148*2</f>
        <v>296</v>
      </c>
      <c r="T17" s="148">
        <v>2</v>
      </c>
      <c r="U17" s="148">
        <f t="shared" si="0"/>
        <v>177.6</v>
      </c>
      <c r="V17" s="148">
        <f t="shared" si="1"/>
        <v>88.8</v>
      </c>
      <c r="W17" s="150">
        <f t="shared" si="2"/>
        <v>88.8</v>
      </c>
    </row>
    <row r="18" spans="4:23" ht="16.5" thickBot="1" x14ac:dyDescent="0.3">
      <c r="D18" s="506" t="s">
        <v>213</v>
      </c>
      <c r="E18" s="507"/>
      <c r="F18" s="507"/>
      <c r="G18" s="508"/>
      <c r="H18" s="506" t="s">
        <v>125</v>
      </c>
      <c r="I18" s="507"/>
      <c r="J18" s="507"/>
      <c r="K18" s="508"/>
      <c r="M18" s="146">
        <v>5</v>
      </c>
      <c r="N18" s="147">
        <v>43160</v>
      </c>
      <c r="O18" s="148" t="s">
        <v>210</v>
      </c>
      <c r="P18" s="148" t="s">
        <v>211</v>
      </c>
      <c r="Q18" s="148">
        <v>260</v>
      </c>
      <c r="R18" s="149">
        <v>0.11</v>
      </c>
      <c r="S18" s="148">
        <f>34*2</f>
        <v>68</v>
      </c>
      <c r="T18" s="148">
        <v>2</v>
      </c>
      <c r="U18" s="148">
        <f t="shared" si="0"/>
        <v>14.96</v>
      </c>
      <c r="V18" s="148">
        <f t="shared" si="1"/>
        <v>7.48</v>
      </c>
      <c r="W18" s="150">
        <f t="shared" si="2"/>
        <v>7.48</v>
      </c>
    </row>
    <row r="19" spans="4:23" ht="16.5" thickBot="1" x14ac:dyDescent="0.3">
      <c r="D19" s="497" t="s">
        <v>214</v>
      </c>
      <c r="E19" s="498"/>
      <c r="F19" s="498"/>
      <c r="G19" s="499"/>
      <c r="H19" s="565" t="s">
        <v>215</v>
      </c>
      <c r="I19" s="566"/>
      <c r="J19" s="566"/>
      <c r="K19" s="567"/>
      <c r="M19" s="146">
        <v>6</v>
      </c>
      <c r="N19" s="147">
        <v>43172</v>
      </c>
      <c r="O19" s="148" t="s">
        <v>210</v>
      </c>
      <c r="P19" s="148" t="s">
        <v>216</v>
      </c>
      <c r="Q19" s="148">
        <v>156</v>
      </c>
      <c r="R19" s="149">
        <v>0.35</v>
      </c>
      <c r="S19" s="148">
        <f>34*2</f>
        <v>68</v>
      </c>
      <c r="T19" s="148">
        <v>5</v>
      </c>
      <c r="U19" s="148">
        <f t="shared" si="0"/>
        <v>118.99999999999999</v>
      </c>
      <c r="V19" s="148">
        <f t="shared" si="1"/>
        <v>23.799999999999997</v>
      </c>
      <c r="W19" s="150">
        <f t="shared" si="2"/>
        <v>95.199999999999989</v>
      </c>
    </row>
    <row r="20" spans="4:23" ht="15.75" customHeight="1" x14ac:dyDescent="0.25">
      <c r="D20" s="500"/>
      <c r="E20" s="501"/>
      <c r="F20" s="501"/>
      <c r="G20" s="501"/>
      <c r="H20" s="153" t="s">
        <v>217</v>
      </c>
      <c r="I20" s="151" t="s">
        <v>218</v>
      </c>
      <c r="J20" s="153" t="s">
        <v>219</v>
      </c>
      <c r="K20" s="151" t="s">
        <v>218</v>
      </c>
      <c r="M20" s="146">
        <v>7</v>
      </c>
      <c r="N20" s="147">
        <v>43173</v>
      </c>
      <c r="O20" s="148" t="s">
        <v>210</v>
      </c>
      <c r="P20" s="148" t="s">
        <v>216</v>
      </c>
      <c r="Q20" s="148">
        <v>171</v>
      </c>
      <c r="R20" s="149">
        <v>0.4</v>
      </c>
      <c r="S20" s="148">
        <f>34*2</f>
        <v>68</v>
      </c>
      <c r="T20" s="148">
        <v>5</v>
      </c>
      <c r="U20" s="148">
        <f t="shared" si="0"/>
        <v>136</v>
      </c>
      <c r="V20" s="148">
        <f t="shared" si="1"/>
        <v>27.200000000000003</v>
      </c>
      <c r="W20" s="150">
        <f t="shared" si="2"/>
        <v>108.8</v>
      </c>
    </row>
    <row r="21" spans="4:23" ht="15" customHeight="1" thickBot="1" x14ac:dyDescent="0.3">
      <c r="D21" s="500"/>
      <c r="E21" s="501"/>
      <c r="F21" s="501"/>
      <c r="G21" s="501"/>
      <c r="H21" s="155">
        <f>M80</f>
        <v>67</v>
      </c>
      <c r="I21" s="156" t="s">
        <v>220</v>
      </c>
      <c r="J21" s="155">
        <f>SUM(W14:W80)</f>
        <v>3652.1200000000003</v>
      </c>
      <c r="K21" s="157" t="s">
        <v>221</v>
      </c>
      <c r="M21" s="146">
        <v>8</v>
      </c>
      <c r="N21" s="158">
        <v>43540</v>
      </c>
      <c r="O21" s="148" t="s">
        <v>210</v>
      </c>
      <c r="P21" s="148" t="s">
        <v>222</v>
      </c>
      <c r="Q21" s="152">
        <v>216</v>
      </c>
      <c r="R21" s="149">
        <v>0.19</v>
      </c>
      <c r="S21" s="148">
        <f>26*2</f>
        <v>52</v>
      </c>
      <c r="T21" s="148">
        <v>2</v>
      </c>
      <c r="U21" s="148">
        <f t="shared" si="0"/>
        <v>19.760000000000002</v>
      </c>
      <c r="V21" s="148">
        <f t="shared" si="1"/>
        <v>9.8800000000000008</v>
      </c>
      <c r="W21" s="150">
        <f t="shared" si="2"/>
        <v>9.8800000000000008</v>
      </c>
    </row>
    <row r="22" spans="4:23" ht="19.5" thickBot="1" x14ac:dyDescent="0.3">
      <c r="D22" s="500"/>
      <c r="E22" s="501"/>
      <c r="F22" s="501"/>
      <c r="G22" s="502"/>
      <c r="H22" s="565" t="s">
        <v>223</v>
      </c>
      <c r="I22" s="566"/>
      <c r="J22" s="566"/>
      <c r="K22" s="567"/>
      <c r="M22" s="146">
        <v>9</v>
      </c>
      <c r="N22" s="147">
        <v>43179</v>
      </c>
      <c r="O22" s="148" t="s">
        <v>210</v>
      </c>
      <c r="P22" s="148" t="s">
        <v>211</v>
      </c>
      <c r="Q22" s="148">
        <v>245</v>
      </c>
      <c r="R22" s="149">
        <v>0.28000000000000003</v>
      </c>
      <c r="S22" s="148">
        <f>34*2</f>
        <v>68</v>
      </c>
      <c r="T22" s="148">
        <v>3</v>
      </c>
      <c r="U22" s="148">
        <f t="shared" si="0"/>
        <v>57.120000000000005</v>
      </c>
      <c r="V22" s="148">
        <f t="shared" si="1"/>
        <v>19.040000000000003</v>
      </c>
      <c r="W22" s="150">
        <f t="shared" si="2"/>
        <v>38.08</v>
      </c>
    </row>
    <row r="23" spans="4:23" x14ac:dyDescent="0.25">
      <c r="D23" s="500"/>
      <c r="E23" s="501"/>
      <c r="F23" s="501"/>
      <c r="G23" s="502"/>
      <c r="H23" s="552">
        <f>J21/1000</f>
        <v>3.6521200000000005</v>
      </c>
      <c r="I23" s="553"/>
      <c r="J23" s="553"/>
      <c r="K23" s="554"/>
      <c r="M23" s="146">
        <v>10</v>
      </c>
      <c r="N23" s="147">
        <v>43193</v>
      </c>
      <c r="O23" s="148" t="s">
        <v>210</v>
      </c>
      <c r="P23" s="148" t="s">
        <v>211</v>
      </c>
      <c r="Q23" s="148">
        <v>245</v>
      </c>
      <c r="R23" s="149">
        <v>0.28000000000000003</v>
      </c>
      <c r="S23" s="148">
        <f>34*2</f>
        <v>68</v>
      </c>
      <c r="T23" s="148">
        <v>2</v>
      </c>
      <c r="U23" s="148">
        <f t="shared" si="0"/>
        <v>38.080000000000005</v>
      </c>
      <c r="V23" s="148">
        <f t="shared" si="1"/>
        <v>19.040000000000003</v>
      </c>
      <c r="W23" s="150">
        <f t="shared" si="2"/>
        <v>19.040000000000003</v>
      </c>
    </row>
    <row r="24" spans="4:23" ht="19.5" customHeight="1" thickBot="1" x14ac:dyDescent="0.3">
      <c r="D24" s="500"/>
      <c r="E24" s="501"/>
      <c r="F24" s="501"/>
      <c r="G24" s="502"/>
      <c r="H24" s="555"/>
      <c r="I24" s="556"/>
      <c r="J24" s="556"/>
      <c r="K24" s="557"/>
      <c r="M24" s="146">
        <v>11</v>
      </c>
      <c r="N24" s="147">
        <v>43200</v>
      </c>
      <c r="O24" s="148" t="s">
        <v>210</v>
      </c>
      <c r="P24" s="148" t="s">
        <v>211</v>
      </c>
      <c r="Q24" s="148">
        <v>245</v>
      </c>
      <c r="R24" s="149">
        <v>0.28000000000000003</v>
      </c>
      <c r="S24" s="148">
        <f>34*2</f>
        <v>68</v>
      </c>
      <c r="T24" s="148">
        <v>3</v>
      </c>
      <c r="U24" s="148">
        <f t="shared" si="0"/>
        <v>57.120000000000005</v>
      </c>
      <c r="V24" s="148">
        <f t="shared" si="1"/>
        <v>19.040000000000003</v>
      </c>
      <c r="W24" s="150">
        <f t="shared" si="2"/>
        <v>38.08</v>
      </c>
    </row>
    <row r="25" spans="4:23" ht="16.5" thickBot="1" x14ac:dyDescent="0.3">
      <c r="D25" s="500"/>
      <c r="E25" s="501"/>
      <c r="F25" s="501"/>
      <c r="G25" s="502"/>
      <c r="H25" s="558" t="s">
        <v>224</v>
      </c>
      <c r="I25" s="559"/>
      <c r="J25" s="559"/>
      <c r="K25" s="560"/>
      <c r="M25" s="146">
        <v>12</v>
      </c>
      <c r="N25" s="147">
        <v>43207</v>
      </c>
      <c r="O25" s="148" t="s">
        <v>210</v>
      </c>
      <c r="P25" s="148" t="s">
        <v>212</v>
      </c>
      <c r="Q25" s="148">
        <v>252</v>
      </c>
      <c r="R25" s="149">
        <v>0.36</v>
      </c>
      <c r="S25" s="148">
        <f>148*2</f>
        <v>296</v>
      </c>
      <c r="T25" s="148">
        <v>2</v>
      </c>
      <c r="U25" s="148">
        <f t="shared" si="0"/>
        <v>213.12</v>
      </c>
      <c r="V25" s="148">
        <f t="shared" si="1"/>
        <v>106.56</v>
      </c>
      <c r="W25" s="150">
        <f t="shared" si="2"/>
        <v>106.56</v>
      </c>
    </row>
    <row r="26" spans="4:23" x14ac:dyDescent="0.25">
      <c r="D26" s="500"/>
      <c r="E26" s="501"/>
      <c r="F26" s="501"/>
      <c r="G26" s="501"/>
      <c r="H26" s="561" t="s">
        <v>225</v>
      </c>
      <c r="I26" s="562"/>
      <c r="J26" s="563" t="s">
        <v>132</v>
      </c>
      <c r="K26" s="564"/>
      <c r="M26" s="146">
        <v>13</v>
      </c>
      <c r="N26" s="147">
        <v>43207</v>
      </c>
      <c r="O26" s="148" t="s">
        <v>210</v>
      </c>
      <c r="P26" s="148" t="s">
        <v>226</v>
      </c>
      <c r="Q26" s="148">
        <v>155</v>
      </c>
      <c r="R26" s="149">
        <v>0.34</v>
      </c>
      <c r="S26" s="148">
        <f>147*2</f>
        <v>294</v>
      </c>
      <c r="T26" s="148">
        <v>2</v>
      </c>
      <c r="U26" s="148">
        <f t="shared" si="0"/>
        <v>199.92000000000002</v>
      </c>
      <c r="V26" s="148">
        <f t="shared" si="1"/>
        <v>99.960000000000008</v>
      </c>
      <c r="W26" s="150">
        <f t="shared" si="2"/>
        <v>99.960000000000008</v>
      </c>
    </row>
    <row r="27" spans="4:23" x14ac:dyDescent="0.25">
      <c r="D27" s="500"/>
      <c r="E27" s="501"/>
      <c r="F27" s="501"/>
      <c r="G27" s="501"/>
      <c r="H27" s="154" t="s">
        <v>227</v>
      </c>
      <c r="I27" s="160" t="s">
        <v>218</v>
      </c>
      <c r="J27" s="544" t="e">
        <f>(H23/H28)*100</f>
        <v>#REF!</v>
      </c>
      <c r="K27" s="545"/>
      <c r="M27" s="146">
        <v>14</v>
      </c>
      <c r="N27" s="147">
        <v>43207</v>
      </c>
      <c r="O27" s="148" t="s">
        <v>210</v>
      </c>
      <c r="P27" s="148" t="s">
        <v>211</v>
      </c>
      <c r="Q27" s="148">
        <v>260</v>
      </c>
      <c r="R27" s="161">
        <v>0.11</v>
      </c>
      <c r="S27" s="148">
        <f>34*2</f>
        <v>68</v>
      </c>
      <c r="T27" s="148">
        <v>2</v>
      </c>
      <c r="U27" s="148">
        <f t="shared" si="0"/>
        <v>14.96</v>
      </c>
      <c r="V27" s="148">
        <f t="shared" si="1"/>
        <v>7.48</v>
      </c>
      <c r="W27" s="150">
        <f t="shared" si="2"/>
        <v>7.48</v>
      </c>
    </row>
    <row r="28" spans="4:23" ht="19.5" thickBot="1" x14ac:dyDescent="0.3">
      <c r="D28" s="503"/>
      <c r="E28" s="504"/>
      <c r="F28" s="504"/>
      <c r="G28" s="504"/>
      <c r="H28" s="159" t="e">
        <f>#REF!</f>
        <v>#REF!</v>
      </c>
      <c r="I28" s="162" t="s">
        <v>228</v>
      </c>
      <c r="J28" s="546"/>
      <c r="K28" s="547"/>
      <c r="M28" s="146">
        <v>15</v>
      </c>
      <c r="N28" s="147">
        <v>43215</v>
      </c>
      <c r="O28" s="148" t="s">
        <v>210</v>
      </c>
      <c r="P28" s="148" t="s">
        <v>229</v>
      </c>
      <c r="Q28" s="148">
        <v>171</v>
      </c>
      <c r="R28" s="149">
        <v>0.4</v>
      </c>
      <c r="S28" s="148">
        <f>26*2</f>
        <v>52</v>
      </c>
      <c r="T28" s="148">
        <v>2</v>
      </c>
      <c r="U28" s="148">
        <f t="shared" si="0"/>
        <v>41.6</v>
      </c>
      <c r="V28" s="148">
        <f t="shared" si="1"/>
        <v>20.8</v>
      </c>
      <c r="W28" s="150">
        <f t="shared" si="2"/>
        <v>20.8</v>
      </c>
    </row>
    <row r="29" spans="4:23" ht="16.5" thickBot="1" x14ac:dyDescent="0.3">
      <c r="D29" s="506" t="s">
        <v>189</v>
      </c>
      <c r="E29" s="507"/>
      <c r="F29" s="507"/>
      <c r="G29" s="507"/>
      <c r="H29" s="539"/>
      <c r="I29" s="539"/>
      <c r="J29" s="539"/>
      <c r="K29" s="540"/>
      <c r="M29" s="146">
        <v>16</v>
      </c>
      <c r="N29" s="147">
        <v>43235</v>
      </c>
      <c r="O29" s="148" t="s">
        <v>210</v>
      </c>
      <c r="P29" s="148" t="s">
        <v>211</v>
      </c>
      <c r="Q29" s="148">
        <v>155</v>
      </c>
      <c r="R29" s="149">
        <v>0.34</v>
      </c>
      <c r="S29" s="148">
        <f>34*2</f>
        <v>68</v>
      </c>
      <c r="T29" s="148">
        <v>4</v>
      </c>
      <c r="U29" s="148">
        <f t="shared" si="0"/>
        <v>92.48</v>
      </c>
      <c r="V29" s="148">
        <f t="shared" si="1"/>
        <v>23.12</v>
      </c>
      <c r="W29" s="150">
        <f t="shared" si="2"/>
        <v>69.36</v>
      </c>
    </row>
    <row r="30" spans="4:23" ht="16.5" thickBot="1" x14ac:dyDescent="0.3">
      <c r="D30" s="541" t="s">
        <v>230</v>
      </c>
      <c r="E30" s="542"/>
      <c r="F30" s="543"/>
      <c r="G30" s="548" t="s">
        <v>231</v>
      </c>
      <c r="H30" s="548"/>
      <c r="I30" s="549" t="s">
        <v>232</v>
      </c>
      <c r="J30" s="550"/>
      <c r="K30" s="551"/>
      <c r="M30" s="146">
        <v>17</v>
      </c>
      <c r="N30" s="147">
        <v>43236</v>
      </c>
      <c r="O30" s="148" t="s">
        <v>210</v>
      </c>
      <c r="P30" s="148" t="s">
        <v>212</v>
      </c>
      <c r="Q30" s="148">
        <v>252</v>
      </c>
      <c r="R30" s="149">
        <v>0.36</v>
      </c>
      <c r="S30" s="148">
        <f>148*2</f>
        <v>296</v>
      </c>
      <c r="T30" s="148">
        <v>3</v>
      </c>
      <c r="U30" s="148">
        <f t="shared" si="0"/>
        <v>319.68</v>
      </c>
      <c r="V30" s="148">
        <f t="shared" si="1"/>
        <v>106.56</v>
      </c>
      <c r="W30" s="150">
        <f t="shared" si="2"/>
        <v>213.12</v>
      </c>
    </row>
    <row r="31" spans="4:23" x14ac:dyDescent="0.25">
      <c r="D31" s="163" t="s">
        <v>192</v>
      </c>
      <c r="E31" s="144" t="s">
        <v>193</v>
      </c>
      <c r="F31" s="167" t="s">
        <v>2</v>
      </c>
      <c r="G31" s="574">
        <v>330.99</v>
      </c>
      <c r="H31" s="575"/>
      <c r="I31" s="168" t="s">
        <v>192</v>
      </c>
      <c r="J31" s="144" t="s">
        <v>193</v>
      </c>
      <c r="K31" s="145" t="s">
        <v>2</v>
      </c>
      <c r="M31" s="146">
        <v>18</v>
      </c>
      <c r="N31" s="147">
        <v>43242</v>
      </c>
      <c r="O31" s="148" t="s">
        <v>210</v>
      </c>
      <c r="P31" s="148" t="s">
        <v>211</v>
      </c>
      <c r="Q31" s="148">
        <v>252</v>
      </c>
      <c r="R31" s="149">
        <v>0.36</v>
      </c>
      <c r="S31" s="148">
        <f>34*2</f>
        <v>68</v>
      </c>
      <c r="T31" s="148">
        <v>3</v>
      </c>
      <c r="U31" s="148">
        <f t="shared" si="0"/>
        <v>73.44</v>
      </c>
      <c r="V31" s="148">
        <f t="shared" si="1"/>
        <v>24.48</v>
      </c>
      <c r="W31" s="150">
        <f t="shared" si="2"/>
        <v>48.959999999999994</v>
      </c>
    </row>
    <row r="32" spans="4:23" ht="19.5" customHeight="1" thickBot="1" x14ac:dyDescent="0.3">
      <c r="D32" s="164">
        <v>8061</v>
      </c>
      <c r="E32" s="165">
        <v>1776</v>
      </c>
      <c r="F32" s="166">
        <f>D32+E32</f>
        <v>9837</v>
      </c>
      <c r="G32" s="576"/>
      <c r="H32" s="577"/>
      <c r="I32" s="169" t="e">
        <f>#REF!/D32</f>
        <v>#REF!</v>
      </c>
      <c r="J32" s="169" t="e">
        <f>#REF!/E32</f>
        <v>#REF!</v>
      </c>
      <c r="K32" s="169" t="e">
        <f>#REF!/F32</f>
        <v>#REF!</v>
      </c>
      <c r="M32" s="146">
        <v>19</v>
      </c>
      <c r="N32" s="147">
        <v>43242</v>
      </c>
      <c r="O32" s="148" t="s">
        <v>210</v>
      </c>
      <c r="P32" s="148" t="s">
        <v>233</v>
      </c>
      <c r="Q32" s="148">
        <v>199</v>
      </c>
      <c r="R32" s="149">
        <v>0.19</v>
      </c>
      <c r="S32" s="148">
        <f>21*2</f>
        <v>42</v>
      </c>
      <c r="T32" s="148">
        <v>2</v>
      </c>
      <c r="U32" s="148">
        <f t="shared" si="0"/>
        <v>15.96</v>
      </c>
      <c r="V32" s="148">
        <f t="shared" si="1"/>
        <v>7.98</v>
      </c>
      <c r="W32" s="150">
        <f t="shared" si="2"/>
        <v>7.98</v>
      </c>
    </row>
    <row r="33" spans="4:23" ht="16.5" customHeight="1" thickBot="1" x14ac:dyDescent="0.3">
      <c r="D33" s="506" t="s">
        <v>234</v>
      </c>
      <c r="E33" s="507"/>
      <c r="F33" s="507"/>
      <c r="G33" s="507"/>
      <c r="H33" s="539"/>
      <c r="I33" s="539"/>
      <c r="J33" s="539"/>
      <c r="K33" s="540"/>
      <c r="M33" s="146">
        <v>20</v>
      </c>
      <c r="N33" s="147">
        <v>43236</v>
      </c>
      <c r="O33" s="148" t="s">
        <v>210</v>
      </c>
      <c r="P33" s="148" t="s">
        <v>222</v>
      </c>
      <c r="Q33" s="148">
        <v>156</v>
      </c>
      <c r="R33" s="149">
        <v>0.35</v>
      </c>
      <c r="S33" s="148">
        <f>26*2</f>
        <v>52</v>
      </c>
      <c r="T33" s="148">
        <v>3</v>
      </c>
      <c r="U33" s="148">
        <f>R38*S33*T33</f>
        <v>54.599999999999994</v>
      </c>
      <c r="V33" s="148">
        <f>R38*S33</f>
        <v>18.2</v>
      </c>
      <c r="W33" s="150">
        <f t="shared" si="2"/>
        <v>36.399999999999991</v>
      </c>
    </row>
    <row r="34" spans="4:23" ht="16.5" customHeight="1" x14ac:dyDescent="0.25">
      <c r="D34" s="497"/>
      <c r="E34" s="498"/>
      <c r="F34" s="498"/>
      <c r="G34" s="498"/>
      <c r="H34" s="498"/>
      <c r="I34" s="498"/>
      <c r="J34" s="498"/>
      <c r="K34" s="499"/>
      <c r="M34" s="146">
        <v>21</v>
      </c>
      <c r="N34" s="147">
        <v>43241</v>
      </c>
      <c r="O34" s="148" t="s">
        <v>210</v>
      </c>
      <c r="P34" s="148" t="s">
        <v>211</v>
      </c>
      <c r="Q34" s="148">
        <v>236</v>
      </c>
      <c r="R34" s="149">
        <v>0.28000000000000003</v>
      </c>
      <c r="S34" s="148">
        <f>34*2</f>
        <v>68</v>
      </c>
      <c r="T34" s="148">
        <v>4</v>
      </c>
      <c r="U34" s="148">
        <f t="shared" si="0"/>
        <v>76.160000000000011</v>
      </c>
      <c r="V34" s="148">
        <f t="shared" si="1"/>
        <v>19.040000000000003</v>
      </c>
      <c r="W34" s="150">
        <f t="shared" si="2"/>
        <v>57.120000000000005</v>
      </c>
    </row>
    <row r="35" spans="4:23" ht="16.5" customHeight="1" x14ac:dyDescent="0.25">
      <c r="D35" s="500"/>
      <c r="E35" s="501"/>
      <c r="F35" s="501"/>
      <c r="G35" s="501"/>
      <c r="H35" s="501"/>
      <c r="I35" s="501"/>
      <c r="J35" s="501"/>
      <c r="K35" s="502"/>
      <c r="M35" s="146">
        <v>22</v>
      </c>
      <c r="N35" s="147">
        <v>43242</v>
      </c>
      <c r="O35" s="148" t="s">
        <v>210</v>
      </c>
      <c r="P35" s="148" t="s">
        <v>235</v>
      </c>
      <c r="Q35" s="148">
        <v>252</v>
      </c>
      <c r="R35" s="149">
        <v>0.36</v>
      </c>
      <c r="S35" s="148">
        <f>21*2</f>
        <v>42</v>
      </c>
      <c r="T35" s="148">
        <v>2</v>
      </c>
      <c r="U35" s="148">
        <f t="shared" si="0"/>
        <v>30.24</v>
      </c>
      <c r="V35" s="148">
        <f t="shared" si="1"/>
        <v>15.12</v>
      </c>
      <c r="W35" s="150">
        <f t="shared" si="2"/>
        <v>15.12</v>
      </c>
    </row>
    <row r="36" spans="4:23" x14ac:dyDescent="0.25">
      <c r="D36" s="500"/>
      <c r="E36" s="501"/>
      <c r="F36" s="501"/>
      <c r="G36" s="501"/>
      <c r="H36" s="501"/>
      <c r="I36" s="501"/>
      <c r="J36" s="501"/>
      <c r="K36" s="502"/>
      <c r="M36" s="146">
        <v>23</v>
      </c>
      <c r="N36" s="147">
        <v>43245</v>
      </c>
      <c r="O36" s="148" t="s">
        <v>210</v>
      </c>
      <c r="P36" s="148" t="s">
        <v>211</v>
      </c>
      <c r="Q36" s="148">
        <v>155</v>
      </c>
      <c r="R36" s="149">
        <v>0.34</v>
      </c>
      <c r="S36" s="148">
        <f>34*2</f>
        <v>68</v>
      </c>
      <c r="T36" s="148">
        <v>4</v>
      </c>
      <c r="U36" s="148">
        <f t="shared" si="0"/>
        <v>92.48</v>
      </c>
      <c r="V36" s="148">
        <f t="shared" si="1"/>
        <v>23.12</v>
      </c>
      <c r="W36" s="150">
        <f t="shared" si="2"/>
        <v>69.36</v>
      </c>
    </row>
    <row r="37" spans="4:23" x14ac:dyDescent="0.25">
      <c r="D37" s="500"/>
      <c r="E37" s="501"/>
      <c r="F37" s="501"/>
      <c r="G37" s="501"/>
      <c r="H37" s="501"/>
      <c r="I37" s="501"/>
      <c r="J37" s="501"/>
      <c r="K37" s="502"/>
      <c r="M37" s="146">
        <v>24</v>
      </c>
      <c r="N37" s="147">
        <v>43249</v>
      </c>
      <c r="O37" s="148" t="s">
        <v>210</v>
      </c>
      <c r="P37" s="148" t="s">
        <v>211</v>
      </c>
      <c r="Q37" s="148">
        <v>252</v>
      </c>
      <c r="R37" s="149">
        <v>0.36</v>
      </c>
      <c r="S37" s="148">
        <f>34*2</f>
        <v>68</v>
      </c>
      <c r="T37" s="148">
        <v>2</v>
      </c>
      <c r="U37" s="148">
        <f t="shared" si="0"/>
        <v>48.96</v>
      </c>
      <c r="V37" s="148">
        <f t="shared" si="1"/>
        <v>24.48</v>
      </c>
      <c r="W37" s="150">
        <f t="shared" si="2"/>
        <v>24.48</v>
      </c>
    </row>
    <row r="38" spans="4:23" x14ac:dyDescent="0.25">
      <c r="D38" s="500"/>
      <c r="E38" s="501"/>
      <c r="F38" s="501"/>
      <c r="G38" s="501"/>
      <c r="H38" s="501"/>
      <c r="I38" s="501"/>
      <c r="J38" s="501"/>
      <c r="K38" s="502"/>
      <c r="M38" s="146">
        <v>25</v>
      </c>
      <c r="N38" s="147">
        <v>43252</v>
      </c>
      <c r="O38" s="148" t="s">
        <v>210</v>
      </c>
      <c r="P38" s="148" t="s">
        <v>212</v>
      </c>
      <c r="Q38" s="148">
        <v>156</v>
      </c>
      <c r="R38" s="149">
        <v>0.35</v>
      </c>
      <c r="S38" s="148">
        <f>148*2</f>
        <v>296</v>
      </c>
      <c r="T38" s="148">
        <v>2</v>
      </c>
      <c r="U38" s="148">
        <f t="shared" si="0"/>
        <v>207.2</v>
      </c>
      <c r="V38" s="148">
        <f t="shared" si="1"/>
        <v>103.6</v>
      </c>
      <c r="W38" s="150">
        <f t="shared" si="2"/>
        <v>103.6</v>
      </c>
    </row>
    <row r="39" spans="4:23" ht="16.5" thickBot="1" x14ac:dyDescent="0.3">
      <c r="D39" s="503"/>
      <c r="E39" s="504"/>
      <c r="F39" s="504"/>
      <c r="G39" s="504"/>
      <c r="H39" s="504"/>
      <c r="I39" s="504"/>
      <c r="J39" s="504"/>
      <c r="K39" s="505"/>
      <c r="M39" s="146">
        <v>26</v>
      </c>
      <c r="N39" s="147">
        <v>43256</v>
      </c>
      <c r="O39" s="148" t="s">
        <v>210</v>
      </c>
      <c r="P39" s="148" t="s">
        <v>211</v>
      </c>
      <c r="Q39" s="148">
        <v>252</v>
      </c>
      <c r="R39" s="149">
        <v>0.36</v>
      </c>
      <c r="S39" s="148">
        <f>34*2</f>
        <v>68</v>
      </c>
      <c r="T39" s="148">
        <v>3</v>
      </c>
      <c r="U39" s="148">
        <f t="shared" si="0"/>
        <v>73.44</v>
      </c>
      <c r="V39" s="148">
        <f t="shared" si="1"/>
        <v>24.48</v>
      </c>
      <c r="W39" s="150">
        <f t="shared" si="2"/>
        <v>48.959999999999994</v>
      </c>
    </row>
    <row r="40" spans="4:23" ht="16.5" thickBot="1" x14ac:dyDescent="0.3">
      <c r="D40" s="506" t="s">
        <v>236</v>
      </c>
      <c r="E40" s="507"/>
      <c r="F40" s="507"/>
      <c r="G40" s="507"/>
      <c r="H40" s="539"/>
      <c r="I40" s="539"/>
      <c r="J40" s="539"/>
      <c r="K40" s="540"/>
      <c r="M40" s="146">
        <v>27</v>
      </c>
      <c r="N40" s="147">
        <v>43257</v>
      </c>
      <c r="O40" s="148" t="s">
        <v>210</v>
      </c>
      <c r="P40" s="148" t="s">
        <v>237</v>
      </c>
      <c r="Q40" s="148">
        <v>252</v>
      </c>
      <c r="R40" s="149">
        <v>0.36</v>
      </c>
      <c r="S40" s="148">
        <f>22*2</f>
        <v>44</v>
      </c>
      <c r="T40" s="148">
        <v>3</v>
      </c>
      <c r="U40" s="148">
        <f t="shared" si="0"/>
        <v>47.519999999999996</v>
      </c>
      <c r="V40" s="148">
        <f t="shared" si="1"/>
        <v>15.84</v>
      </c>
      <c r="W40" s="150">
        <f t="shared" si="2"/>
        <v>31.679999999999996</v>
      </c>
    </row>
    <row r="41" spans="4:23" x14ac:dyDescent="0.25">
      <c r="D41" s="568"/>
      <c r="E41" s="569"/>
      <c r="F41" s="569"/>
      <c r="G41" s="569"/>
      <c r="H41" s="569"/>
      <c r="I41" s="569"/>
      <c r="J41" s="569"/>
      <c r="K41" s="570"/>
      <c r="M41" s="146">
        <v>28</v>
      </c>
      <c r="N41" s="147">
        <v>43265</v>
      </c>
      <c r="O41" s="148" t="s">
        <v>210</v>
      </c>
      <c r="P41" s="148" t="s">
        <v>212</v>
      </c>
      <c r="Q41" s="148">
        <v>156</v>
      </c>
      <c r="R41" s="149">
        <v>0.35</v>
      </c>
      <c r="S41" s="148">
        <f>148*2</f>
        <v>296</v>
      </c>
      <c r="T41" s="148">
        <v>2</v>
      </c>
      <c r="U41" s="148">
        <f t="shared" si="0"/>
        <v>207.2</v>
      </c>
      <c r="V41" s="148">
        <f t="shared" si="1"/>
        <v>103.6</v>
      </c>
      <c r="W41" s="150">
        <f t="shared" si="2"/>
        <v>103.6</v>
      </c>
    </row>
    <row r="42" spans="4:23" ht="69.75" customHeight="1" thickBot="1" x14ac:dyDescent="0.3">
      <c r="D42" s="571"/>
      <c r="E42" s="572"/>
      <c r="F42" s="572"/>
      <c r="G42" s="572"/>
      <c r="H42" s="572"/>
      <c r="I42" s="572"/>
      <c r="J42" s="572"/>
      <c r="K42" s="573"/>
      <c r="M42" s="146">
        <v>29</v>
      </c>
      <c r="N42" s="147">
        <v>43263</v>
      </c>
      <c r="O42" s="148" t="s">
        <v>210</v>
      </c>
      <c r="P42" s="148" t="s">
        <v>211</v>
      </c>
      <c r="Q42" s="148">
        <v>171</v>
      </c>
      <c r="R42" s="149">
        <v>0.4</v>
      </c>
      <c r="S42" s="148">
        <f>34*2</f>
        <v>68</v>
      </c>
      <c r="T42" s="148">
        <v>4</v>
      </c>
      <c r="U42" s="148">
        <f t="shared" si="0"/>
        <v>108.80000000000001</v>
      </c>
      <c r="V42" s="148">
        <f t="shared" si="1"/>
        <v>27.200000000000003</v>
      </c>
      <c r="W42" s="150">
        <f t="shared" si="2"/>
        <v>81.600000000000009</v>
      </c>
    </row>
    <row r="43" spans="4:23" ht="16.5" thickBot="1" x14ac:dyDescent="0.3">
      <c r="M43" s="146">
        <v>30</v>
      </c>
      <c r="N43" s="147">
        <v>43300</v>
      </c>
      <c r="O43" s="148" t="s">
        <v>210</v>
      </c>
      <c r="P43" s="148" t="s">
        <v>211</v>
      </c>
      <c r="Q43" s="148">
        <v>246</v>
      </c>
      <c r="R43" s="149">
        <v>0.28999999999999998</v>
      </c>
      <c r="S43" s="148">
        <f>34*2</f>
        <v>68</v>
      </c>
      <c r="T43" s="148">
        <v>2</v>
      </c>
      <c r="U43" s="148">
        <f t="shared" si="0"/>
        <v>39.44</v>
      </c>
      <c r="V43" s="148">
        <f t="shared" si="1"/>
        <v>19.72</v>
      </c>
      <c r="W43" s="150">
        <f t="shared" si="2"/>
        <v>19.72</v>
      </c>
    </row>
    <row r="44" spans="4:23" ht="16.5" thickBot="1" x14ac:dyDescent="0.3">
      <c r="D44" s="533">
        <v>2019</v>
      </c>
      <c r="E44" s="534"/>
      <c r="F44" s="534"/>
      <c r="G44" s="534"/>
      <c r="H44" s="534"/>
      <c r="I44" s="534"/>
      <c r="J44" s="534"/>
      <c r="K44" s="535"/>
      <c r="M44" s="146">
        <v>31</v>
      </c>
      <c r="N44" s="147">
        <v>43305</v>
      </c>
      <c r="O44" s="148" t="s">
        <v>210</v>
      </c>
      <c r="P44" s="148" t="s">
        <v>211</v>
      </c>
      <c r="Q44" s="148">
        <v>156</v>
      </c>
      <c r="R44" s="149">
        <v>0.35</v>
      </c>
      <c r="S44" s="148">
        <f t="shared" ref="S44:S45" si="3">34*2</f>
        <v>68</v>
      </c>
      <c r="T44" s="152">
        <v>3</v>
      </c>
      <c r="U44" s="148">
        <f t="shared" si="0"/>
        <v>71.399999999999991</v>
      </c>
      <c r="V44" s="148">
        <f t="shared" si="1"/>
        <v>23.799999999999997</v>
      </c>
      <c r="W44" s="150">
        <f t="shared" si="2"/>
        <v>47.599999999999994</v>
      </c>
    </row>
    <row r="45" spans="4:23" ht="16.5" thickBot="1" x14ac:dyDescent="0.3">
      <c r="D45" s="536" t="s">
        <v>119</v>
      </c>
      <c r="E45" s="537"/>
      <c r="F45" s="537"/>
      <c r="G45" s="537"/>
      <c r="H45" s="536" t="s">
        <v>196</v>
      </c>
      <c r="I45" s="537"/>
      <c r="J45" s="537"/>
      <c r="K45" s="538"/>
      <c r="M45" s="146">
        <v>32</v>
      </c>
      <c r="N45" s="158">
        <v>43307</v>
      </c>
      <c r="O45" s="148" t="s">
        <v>210</v>
      </c>
      <c r="P45" s="148" t="s">
        <v>211</v>
      </c>
      <c r="Q45" s="152">
        <v>156</v>
      </c>
      <c r="R45" s="149">
        <v>0.35</v>
      </c>
      <c r="S45" s="148">
        <f t="shared" si="3"/>
        <v>68</v>
      </c>
      <c r="T45" s="152">
        <v>3</v>
      </c>
      <c r="U45" s="148">
        <f t="shared" si="0"/>
        <v>71.399999999999991</v>
      </c>
      <c r="V45" s="148">
        <f t="shared" si="1"/>
        <v>23.799999999999997</v>
      </c>
      <c r="W45" s="150">
        <f t="shared" si="2"/>
        <v>47.599999999999994</v>
      </c>
    </row>
    <row r="46" spans="4:23" x14ac:dyDescent="0.25">
      <c r="D46" s="497" t="s">
        <v>197</v>
      </c>
      <c r="E46" s="498"/>
      <c r="F46" s="498"/>
      <c r="G46" s="499"/>
      <c r="H46" s="497" t="s">
        <v>198</v>
      </c>
      <c r="I46" s="498"/>
      <c r="J46" s="498"/>
      <c r="K46" s="499"/>
      <c r="M46" s="146">
        <v>33</v>
      </c>
      <c r="N46" s="158">
        <v>43306</v>
      </c>
      <c r="O46" s="148" t="s">
        <v>210</v>
      </c>
      <c r="P46" s="148" t="s">
        <v>212</v>
      </c>
      <c r="Q46" s="152">
        <v>157</v>
      </c>
      <c r="R46" s="176">
        <v>0.33</v>
      </c>
      <c r="S46" s="152">
        <f>148*2</f>
        <v>296</v>
      </c>
      <c r="T46" s="152">
        <v>2</v>
      </c>
      <c r="U46" s="148">
        <f t="shared" si="0"/>
        <v>195.36</v>
      </c>
      <c r="V46" s="148">
        <f t="shared" si="1"/>
        <v>97.68</v>
      </c>
      <c r="W46" s="150">
        <f t="shared" si="2"/>
        <v>97.68</v>
      </c>
    </row>
    <row r="47" spans="4:23" x14ac:dyDescent="0.25">
      <c r="D47" s="500"/>
      <c r="E47" s="501"/>
      <c r="F47" s="501"/>
      <c r="G47" s="502"/>
      <c r="H47" s="500"/>
      <c r="I47" s="501"/>
      <c r="J47" s="501"/>
      <c r="K47" s="502"/>
      <c r="M47" s="146">
        <v>34</v>
      </c>
      <c r="N47" s="158">
        <v>43307</v>
      </c>
      <c r="O47" s="148" t="s">
        <v>210</v>
      </c>
      <c r="P47" s="148" t="s">
        <v>212</v>
      </c>
      <c r="Q47" s="152">
        <v>155</v>
      </c>
      <c r="R47" s="149">
        <v>0.34</v>
      </c>
      <c r="S47" s="152">
        <f>148*2</f>
        <v>296</v>
      </c>
      <c r="T47" s="152">
        <v>2</v>
      </c>
      <c r="U47" s="148">
        <f t="shared" si="0"/>
        <v>201.28</v>
      </c>
      <c r="V47" s="148">
        <f t="shared" si="1"/>
        <v>100.64</v>
      </c>
      <c r="W47" s="150">
        <f t="shared" si="2"/>
        <v>100.64</v>
      </c>
    </row>
    <row r="48" spans="4:23" x14ac:dyDescent="0.25">
      <c r="D48" s="500"/>
      <c r="E48" s="501"/>
      <c r="F48" s="501"/>
      <c r="G48" s="502"/>
      <c r="H48" s="500"/>
      <c r="I48" s="501"/>
      <c r="J48" s="501"/>
      <c r="K48" s="502"/>
      <c r="M48" s="146">
        <v>35</v>
      </c>
      <c r="N48" s="158">
        <v>43304</v>
      </c>
      <c r="O48" s="148" t="s">
        <v>210</v>
      </c>
      <c r="P48" s="148" t="s">
        <v>211</v>
      </c>
      <c r="Q48" s="152">
        <v>157</v>
      </c>
      <c r="R48" s="176">
        <v>0.33</v>
      </c>
      <c r="S48" s="148">
        <f>34*2</f>
        <v>68</v>
      </c>
      <c r="T48" s="148">
        <v>2</v>
      </c>
      <c r="U48" s="148">
        <f t="shared" si="0"/>
        <v>44.88</v>
      </c>
      <c r="V48" s="148">
        <f t="shared" si="1"/>
        <v>22.44</v>
      </c>
      <c r="W48" s="150">
        <f t="shared" si="2"/>
        <v>22.44</v>
      </c>
    </row>
    <row r="49" spans="4:24" x14ac:dyDescent="0.25">
      <c r="D49" s="500"/>
      <c r="E49" s="501"/>
      <c r="F49" s="501"/>
      <c r="G49" s="502"/>
      <c r="H49" s="500"/>
      <c r="I49" s="501"/>
      <c r="J49" s="501"/>
      <c r="K49" s="502"/>
      <c r="M49" s="146">
        <v>36</v>
      </c>
      <c r="N49" s="147">
        <v>43301</v>
      </c>
      <c r="O49" s="148" t="s">
        <v>210</v>
      </c>
      <c r="P49" s="148" t="s">
        <v>211</v>
      </c>
      <c r="Q49" s="148">
        <v>246</v>
      </c>
      <c r="R49" s="149">
        <v>0.28999999999999998</v>
      </c>
      <c r="S49" s="148">
        <f>34*2</f>
        <v>68</v>
      </c>
      <c r="T49" s="148">
        <v>2</v>
      </c>
      <c r="U49" s="148">
        <f t="shared" si="0"/>
        <v>39.44</v>
      </c>
      <c r="V49" s="148">
        <f t="shared" si="1"/>
        <v>19.72</v>
      </c>
      <c r="W49" s="150">
        <f t="shared" si="2"/>
        <v>19.72</v>
      </c>
    </row>
    <row r="50" spans="4:24" x14ac:dyDescent="0.25">
      <c r="D50" s="500"/>
      <c r="E50" s="501"/>
      <c r="F50" s="501"/>
      <c r="G50" s="502"/>
      <c r="H50" s="500"/>
      <c r="I50" s="501"/>
      <c r="J50" s="501"/>
      <c r="K50" s="502"/>
      <c r="M50" s="146">
        <v>37</v>
      </c>
      <c r="N50" s="147">
        <v>43312</v>
      </c>
      <c r="O50" s="148" t="s">
        <v>210</v>
      </c>
      <c r="P50" s="148" t="s">
        <v>211</v>
      </c>
      <c r="Q50" s="148">
        <v>171</v>
      </c>
      <c r="R50" s="149">
        <v>0.4</v>
      </c>
      <c r="S50" s="148">
        <f>34*2</f>
        <v>68</v>
      </c>
      <c r="T50" s="152">
        <v>3</v>
      </c>
      <c r="U50" s="148">
        <f t="shared" si="0"/>
        <v>81.600000000000009</v>
      </c>
      <c r="V50" s="148">
        <f t="shared" si="1"/>
        <v>27.200000000000003</v>
      </c>
      <c r="W50" s="150">
        <f t="shared" si="2"/>
        <v>54.400000000000006</v>
      </c>
    </row>
    <row r="51" spans="4:24" ht="115.5" customHeight="1" thickBot="1" x14ac:dyDescent="0.3">
      <c r="D51" s="503"/>
      <c r="E51" s="504"/>
      <c r="F51" s="504"/>
      <c r="G51" s="505"/>
      <c r="H51" s="503"/>
      <c r="I51" s="504"/>
      <c r="J51" s="504"/>
      <c r="K51" s="505"/>
      <c r="M51" s="146">
        <v>38</v>
      </c>
      <c r="N51" s="147">
        <v>43673</v>
      </c>
      <c r="O51" s="148" t="s">
        <v>210</v>
      </c>
      <c r="P51" s="148" t="s">
        <v>212</v>
      </c>
      <c r="Q51" s="152">
        <v>171</v>
      </c>
      <c r="R51" s="149">
        <v>0.4</v>
      </c>
      <c r="S51" s="148">
        <f>148*2</f>
        <v>296</v>
      </c>
      <c r="T51" s="148">
        <v>2</v>
      </c>
      <c r="U51" s="148">
        <f t="shared" si="0"/>
        <v>236.8</v>
      </c>
      <c r="V51" s="148">
        <f t="shared" si="1"/>
        <v>118.4</v>
      </c>
      <c r="W51" s="150">
        <f t="shared" si="2"/>
        <v>118.4</v>
      </c>
    </row>
    <row r="52" spans="4:24" ht="16.5" thickBot="1" x14ac:dyDescent="0.3">
      <c r="D52" s="506" t="s">
        <v>213</v>
      </c>
      <c r="E52" s="507"/>
      <c r="F52" s="507"/>
      <c r="G52" s="508"/>
      <c r="H52" s="506" t="s">
        <v>125</v>
      </c>
      <c r="I52" s="507"/>
      <c r="J52" s="507"/>
      <c r="K52" s="508"/>
      <c r="M52" s="146">
        <v>39</v>
      </c>
      <c r="N52" s="158">
        <v>43320</v>
      </c>
      <c r="O52" s="148" t="s">
        <v>210</v>
      </c>
      <c r="P52" s="148" t="s">
        <v>211</v>
      </c>
      <c r="Q52" s="152">
        <v>254</v>
      </c>
      <c r="R52" s="149">
        <v>0.12</v>
      </c>
      <c r="S52" s="148">
        <f>34*2</f>
        <v>68</v>
      </c>
      <c r="T52" s="148">
        <v>2</v>
      </c>
      <c r="U52" s="148">
        <f t="shared" si="0"/>
        <v>16.32</v>
      </c>
      <c r="V52" s="148">
        <f t="shared" si="1"/>
        <v>8.16</v>
      </c>
      <c r="W52" s="150">
        <f t="shared" si="2"/>
        <v>8.16</v>
      </c>
    </row>
    <row r="53" spans="4:24" ht="16.5" thickBot="1" x14ac:dyDescent="0.3">
      <c r="D53" s="497" t="s">
        <v>214</v>
      </c>
      <c r="E53" s="498"/>
      <c r="F53" s="498"/>
      <c r="G53" s="499"/>
      <c r="H53" s="565" t="s">
        <v>215</v>
      </c>
      <c r="I53" s="566"/>
      <c r="J53" s="566"/>
      <c r="K53" s="567"/>
      <c r="M53" s="146">
        <v>40</v>
      </c>
      <c r="N53" s="147">
        <v>43321</v>
      </c>
      <c r="O53" s="148" t="s">
        <v>210</v>
      </c>
      <c r="P53" s="148" t="s">
        <v>211</v>
      </c>
      <c r="Q53" s="148">
        <v>190</v>
      </c>
      <c r="R53" s="149">
        <v>0.43</v>
      </c>
      <c r="S53" s="148">
        <f>34*2</f>
        <v>68</v>
      </c>
      <c r="T53" s="148">
        <v>2</v>
      </c>
      <c r="U53" s="148">
        <f t="shared" si="0"/>
        <v>58.48</v>
      </c>
      <c r="V53" s="148">
        <f t="shared" si="1"/>
        <v>29.24</v>
      </c>
      <c r="W53" s="150">
        <f t="shared" si="2"/>
        <v>29.24</v>
      </c>
    </row>
    <row r="54" spans="4:24" ht="30" customHeight="1" x14ac:dyDescent="0.25">
      <c r="D54" s="500"/>
      <c r="E54" s="501"/>
      <c r="F54" s="501"/>
      <c r="G54" s="501"/>
      <c r="H54" s="153" t="s">
        <v>217</v>
      </c>
      <c r="I54" s="151" t="s">
        <v>218</v>
      </c>
      <c r="J54" s="153" t="s">
        <v>219</v>
      </c>
      <c r="K54" s="151" t="s">
        <v>218</v>
      </c>
      <c r="M54" s="146">
        <v>41</v>
      </c>
      <c r="N54" s="147">
        <v>43321</v>
      </c>
      <c r="O54" s="148" t="s">
        <v>210</v>
      </c>
      <c r="P54" s="148" t="s">
        <v>211</v>
      </c>
      <c r="Q54" s="148">
        <v>156</v>
      </c>
      <c r="R54" s="149">
        <v>0.35</v>
      </c>
      <c r="S54" s="148">
        <f>34*2</f>
        <v>68</v>
      </c>
      <c r="T54" s="178">
        <v>2</v>
      </c>
      <c r="U54" s="148">
        <f t="shared" si="0"/>
        <v>47.599999999999994</v>
      </c>
      <c r="V54" s="148">
        <f t="shared" si="1"/>
        <v>23.799999999999997</v>
      </c>
      <c r="W54" s="150">
        <f t="shared" si="2"/>
        <v>23.799999999999997</v>
      </c>
    </row>
    <row r="55" spans="4:24" s="140" customFormat="1" ht="39.950000000000003" customHeight="1" thickBot="1" x14ac:dyDescent="0.25">
      <c r="D55" s="500"/>
      <c r="E55" s="501"/>
      <c r="F55" s="501"/>
      <c r="G55" s="501"/>
      <c r="H55" s="155">
        <f>M131</f>
        <v>44</v>
      </c>
      <c r="I55" s="156" t="s">
        <v>220</v>
      </c>
      <c r="J55" s="155">
        <f>W81</f>
        <v>3652.1200000000003</v>
      </c>
      <c r="K55" s="157" t="s">
        <v>221</v>
      </c>
      <c r="M55" s="146">
        <v>42</v>
      </c>
      <c r="N55" s="147">
        <v>43326</v>
      </c>
      <c r="O55" s="148" t="s">
        <v>210</v>
      </c>
      <c r="P55" s="148" t="s">
        <v>211</v>
      </c>
      <c r="Q55" s="148">
        <v>179</v>
      </c>
      <c r="R55" s="179">
        <v>0.21</v>
      </c>
      <c r="S55" s="178">
        <f>34*2</f>
        <v>68</v>
      </c>
      <c r="T55" s="178">
        <v>2</v>
      </c>
      <c r="U55" s="148">
        <f t="shared" si="0"/>
        <v>28.56</v>
      </c>
      <c r="V55" s="148">
        <f t="shared" si="1"/>
        <v>14.28</v>
      </c>
      <c r="W55" s="150">
        <f t="shared" si="2"/>
        <v>14.28</v>
      </c>
    </row>
    <row r="56" spans="4:24" ht="19.5" customHeight="1" thickBot="1" x14ac:dyDescent="0.3">
      <c r="D56" s="500"/>
      <c r="E56" s="501"/>
      <c r="F56" s="501"/>
      <c r="G56" s="502"/>
      <c r="H56" s="565" t="s">
        <v>223</v>
      </c>
      <c r="I56" s="566"/>
      <c r="J56" s="566"/>
      <c r="K56" s="567"/>
      <c r="M56" s="146">
        <v>43</v>
      </c>
      <c r="N56" s="181">
        <v>43329</v>
      </c>
      <c r="O56" s="178" t="s">
        <v>210</v>
      </c>
      <c r="P56" s="178" t="s">
        <v>212</v>
      </c>
      <c r="Q56" s="178">
        <v>156</v>
      </c>
      <c r="R56" s="149">
        <v>0.35</v>
      </c>
      <c r="S56" s="148">
        <f>148*2</f>
        <v>296</v>
      </c>
      <c r="T56" s="152">
        <v>2</v>
      </c>
      <c r="U56" s="148">
        <f t="shared" si="0"/>
        <v>207.2</v>
      </c>
      <c r="V56" s="148">
        <f t="shared" si="1"/>
        <v>103.6</v>
      </c>
      <c r="W56" s="150">
        <f t="shared" si="2"/>
        <v>103.6</v>
      </c>
    </row>
    <row r="57" spans="4:24" ht="19.5" customHeight="1" x14ac:dyDescent="0.25">
      <c r="D57" s="500"/>
      <c r="E57" s="501"/>
      <c r="F57" s="501"/>
      <c r="G57" s="502"/>
      <c r="H57" s="552">
        <f>J55/1000</f>
        <v>3.6521200000000005</v>
      </c>
      <c r="I57" s="553"/>
      <c r="J57" s="553"/>
      <c r="K57" s="554"/>
      <c r="M57" s="146">
        <v>44</v>
      </c>
      <c r="N57" s="182">
        <v>43333</v>
      </c>
      <c r="O57" s="183" t="s">
        <v>210</v>
      </c>
      <c r="P57" s="148" t="s">
        <v>211</v>
      </c>
      <c r="Q57" s="183">
        <v>156</v>
      </c>
      <c r="R57" s="149">
        <v>0.35</v>
      </c>
      <c r="S57" s="148">
        <f>34*2</f>
        <v>68</v>
      </c>
      <c r="T57" s="152">
        <v>4</v>
      </c>
      <c r="U57" s="148">
        <f t="shared" si="0"/>
        <v>95.199999999999989</v>
      </c>
      <c r="V57" s="148">
        <f t="shared" si="1"/>
        <v>23.799999999999997</v>
      </c>
      <c r="W57" s="150">
        <f t="shared" si="2"/>
        <v>71.399999999999991</v>
      </c>
      <c r="X57" s="141"/>
    </row>
    <row r="58" spans="4:24" ht="16.5" thickBot="1" x14ac:dyDescent="0.3">
      <c r="D58" s="500"/>
      <c r="E58" s="501"/>
      <c r="F58" s="501"/>
      <c r="G58" s="502"/>
      <c r="H58" s="555"/>
      <c r="I58" s="556"/>
      <c r="J58" s="556"/>
      <c r="K58" s="557"/>
      <c r="M58" s="146">
        <v>45</v>
      </c>
      <c r="N58" s="158">
        <v>43335</v>
      </c>
      <c r="O58" s="152" t="s">
        <v>210</v>
      </c>
      <c r="P58" s="148" t="s">
        <v>211</v>
      </c>
      <c r="Q58" s="152">
        <v>212</v>
      </c>
      <c r="R58" s="176">
        <v>0.33</v>
      </c>
      <c r="S58" s="152">
        <f>34*2</f>
        <v>68</v>
      </c>
      <c r="T58" s="152">
        <v>2</v>
      </c>
      <c r="U58" s="148">
        <f t="shared" si="0"/>
        <v>44.88</v>
      </c>
      <c r="V58" s="148">
        <f t="shared" si="1"/>
        <v>22.44</v>
      </c>
      <c r="W58" s="150">
        <f t="shared" si="2"/>
        <v>22.44</v>
      </c>
      <c r="X58" s="141"/>
    </row>
    <row r="59" spans="4:24" ht="16.5" thickBot="1" x14ac:dyDescent="0.3">
      <c r="D59" s="500"/>
      <c r="E59" s="501"/>
      <c r="F59" s="501"/>
      <c r="G59" s="502"/>
      <c r="H59" s="558" t="s">
        <v>224</v>
      </c>
      <c r="I59" s="559"/>
      <c r="J59" s="559"/>
      <c r="K59" s="560"/>
      <c r="M59" s="146">
        <v>46</v>
      </c>
      <c r="N59" s="158">
        <v>43342</v>
      </c>
      <c r="O59" s="152" t="s">
        <v>210</v>
      </c>
      <c r="P59" s="148" t="s">
        <v>211</v>
      </c>
      <c r="Q59" s="152">
        <v>261</v>
      </c>
      <c r="R59" s="176">
        <v>0.13</v>
      </c>
      <c r="S59" s="152">
        <f>34*2</f>
        <v>68</v>
      </c>
      <c r="T59" s="152">
        <v>2</v>
      </c>
      <c r="U59" s="148">
        <f t="shared" si="0"/>
        <v>17.68</v>
      </c>
      <c r="V59" s="148">
        <f t="shared" si="1"/>
        <v>8.84</v>
      </c>
      <c r="W59" s="150">
        <f t="shared" si="2"/>
        <v>8.84</v>
      </c>
      <c r="X59" s="141"/>
    </row>
    <row r="60" spans="4:24" x14ac:dyDescent="0.25">
      <c r="D60" s="500"/>
      <c r="E60" s="501"/>
      <c r="F60" s="501"/>
      <c r="G60" s="501"/>
      <c r="H60" s="561" t="s">
        <v>238</v>
      </c>
      <c r="I60" s="562"/>
      <c r="J60" s="563" t="s">
        <v>132</v>
      </c>
      <c r="K60" s="564"/>
      <c r="M60" s="146">
        <v>47</v>
      </c>
      <c r="N60" s="158">
        <v>43343</v>
      </c>
      <c r="O60" s="152" t="s">
        <v>210</v>
      </c>
      <c r="P60" s="152" t="s">
        <v>212</v>
      </c>
      <c r="Q60" s="152">
        <v>171</v>
      </c>
      <c r="R60" s="149">
        <v>0.4</v>
      </c>
      <c r="S60" s="148">
        <f>148*2</f>
        <v>296</v>
      </c>
      <c r="T60" s="152">
        <v>2</v>
      </c>
      <c r="U60" s="148">
        <f t="shared" si="0"/>
        <v>236.8</v>
      </c>
      <c r="V60" s="148">
        <f t="shared" si="1"/>
        <v>118.4</v>
      </c>
      <c r="W60" s="150">
        <f t="shared" si="2"/>
        <v>118.4</v>
      </c>
      <c r="X60" s="141"/>
    </row>
    <row r="61" spans="4:24" x14ac:dyDescent="0.25">
      <c r="D61" s="500"/>
      <c r="E61" s="501"/>
      <c r="F61" s="501"/>
      <c r="G61" s="501"/>
      <c r="H61" s="154" t="s">
        <v>227</v>
      </c>
      <c r="I61" s="160" t="s">
        <v>218</v>
      </c>
      <c r="J61" s="544" t="e">
        <f>(H57/H62)*100</f>
        <v>#DIV/0!</v>
      </c>
      <c r="K61" s="545"/>
      <c r="M61" s="146">
        <v>48</v>
      </c>
      <c r="N61" s="158">
        <v>43350</v>
      </c>
      <c r="O61" s="152" t="s">
        <v>210</v>
      </c>
      <c r="P61" s="152" t="s">
        <v>239</v>
      </c>
      <c r="Q61" s="152">
        <v>258</v>
      </c>
      <c r="R61" s="149">
        <v>0.11</v>
      </c>
      <c r="S61" s="152">
        <f>21*2</f>
        <v>42</v>
      </c>
      <c r="T61" s="152">
        <v>2</v>
      </c>
      <c r="U61" s="148">
        <f t="shared" si="0"/>
        <v>9.24</v>
      </c>
      <c r="V61" s="148">
        <f t="shared" si="1"/>
        <v>4.62</v>
      </c>
      <c r="W61" s="150">
        <f t="shared" si="2"/>
        <v>4.62</v>
      </c>
      <c r="X61" s="141"/>
    </row>
    <row r="62" spans="4:24" ht="19.5" thickBot="1" x14ac:dyDescent="0.3">
      <c r="D62" s="503"/>
      <c r="E62" s="504"/>
      <c r="F62" s="504"/>
      <c r="G62" s="504"/>
      <c r="H62" s="159"/>
      <c r="I62" s="162" t="s">
        <v>228</v>
      </c>
      <c r="J62" s="546"/>
      <c r="K62" s="547"/>
      <c r="M62" s="146">
        <v>49</v>
      </c>
      <c r="N62" s="158">
        <v>43377</v>
      </c>
      <c r="O62" s="152" t="s">
        <v>210</v>
      </c>
      <c r="P62" s="152" t="s">
        <v>226</v>
      </c>
      <c r="Q62" s="152">
        <v>181</v>
      </c>
      <c r="R62" s="149">
        <v>0.28999999999999998</v>
      </c>
      <c r="S62" s="152">
        <f>147*2</f>
        <v>294</v>
      </c>
      <c r="T62" s="152">
        <v>2</v>
      </c>
      <c r="U62" s="148">
        <f t="shared" si="0"/>
        <v>170.51999999999998</v>
      </c>
      <c r="V62" s="148">
        <f t="shared" si="1"/>
        <v>85.259999999999991</v>
      </c>
      <c r="W62" s="150">
        <f t="shared" si="2"/>
        <v>85.259999999999991</v>
      </c>
      <c r="X62" s="141"/>
    </row>
    <row r="63" spans="4:24" ht="16.5" thickBot="1" x14ac:dyDescent="0.3">
      <c r="D63" s="506" t="s">
        <v>189</v>
      </c>
      <c r="E63" s="507"/>
      <c r="F63" s="507"/>
      <c r="G63" s="507"/>
      <c r="H63" s="539"/>
      <c r="I63" s="539"/>
      <c r="J63" s="539"/>
      <c r="K63" s="540"/>
      <c r="M63" s="146">
        <v>50</v>
      </c>
      <c r="N63" s="158">
        <v>43377</v>
      </c>
      <c r="O63" s="152" t="s">
        <v>210</v>
      </c>
      <c r="P63" s="152" t="s">
        <v>212</v>
      </c>
      <c r="Q63" s="152">
        <v>211</v>
      </c>
      <c r="R63" s="149">
        <v>0.3</v>
      </c>
      <c r="S63" s="152">
        <f>148*2</f>
        <v>296</v>
      </c>
      <c r="T63" s="152">
        <v>2</v>
      </c>
      <c r="U63" s="148">
        <f t="shared" si="0"/>
        <v>177.6</v>
      </c>
      <c r="V63" s="148">
        <f t="shared" si="1"/>
        <v>88.8</v>
      </c>
      <c r="W63" s="150">
        <f t="shared" si="2"/>
        <v>88.8</v>
      </c>
      <c r="X63" s="141"/>
    </row>
    <row r="64" spans="4:24" ht="16.5" thickBot="1" x14ac:dyDescent="0.3">
      <c r="D64" s="541" t="s">
        <v>230</v>
      </c>
      <c r="E64" s="542"/>
      <c r="F64" s="543"/>
      <c r="G64" s="548" t="s">
        <v>231</v>
      </c>
      <c r="H64" s="548"/>
      <c r="I64" s="549" t="s">
        <v>232</v>
      </c>
      <c r="J64" s="550"/>
      <c r="K64" s="551"/>
      <c r="M64" s="146">
        <v>51</v>
      </c>
      <c r="N64" s="158">
        <v>43378</v>
      </c>
      <c r="O64" s="152" t="s">
        <v>210</v>
      </c>
      <c r="P64" s="152" t="s">
        <v>211</v>
      </c>
      <c r="Q64" s="152">
        <v>201</v>
      </c>
      <c r="R64" s="176">
        <v>0.27</v>
      </c>
      <c r="S64" s="152">
        <f>34*2</f>
        <v>68</v>
      </c>
      <c r="T64" s="152">
        <v>2</v>
      </c>
      <c r="U64" s="148">
        <f t="shared" si="0"/>
        <v>36.72</v>
      </c>
      <c r="V64" s="148">
        <f t="shared" si="1"/>
        <v>18.36</v>
      </c>
      <c r="W64" s="150">
        <f t="shared" si="2"/>
        <v>18.36</v>
      </c>
      <c r="X64" s="141"/>
    </row>
    <row r="65" spans="4:24" x14ac:dyDescent="0.25">
      <c r="D65" s="163" t="s">
        <v>192</v>
      </c>
      <c r="E65" s="144" t="s">
        <v>193</v>
      </c>
      <c r="F65" s="167" t="s">
        <v>2</v>
      </c>
      <c r="G65" s="574"/>
      <c r="H65" s="575"/>
      <c r="I65" s="168" t="s">
        <v>192</v>
      </c>
      <c r="J65" s="144" t="s">
        <v>193</v>
      </c>
      <c r="K65" s="145" t="s">
        <v>2</v>
      </c>
      <c r="M65" s="146">
        <v>52</v>
      </c>
      <c r="N65" s="158">
        <v>43378</v>
      </c>
      <c r="O65" s="152" t="s">
        <v>210</v>
      </c>
      <c r="P65" s="152" t="s">
        <v>212</v>
      </c>
      <c r="Q65" s="152">
        <v>211</v>
      </c>
      <c r="R65" s="149">
        <v>0.3</v>
      </c>
      <c r="S65" s="152">
        <f>148*2</f>
        <v>296</v>
      </c>
      <c r="T65" s="152">
        <v>2</v>
      </c>
      <c r="U65" s="148">
        <f t="shared" si="0"/>
        <v>177.6</v>
      </c>
      <c r="V65" s="148">
        <f t="shared" si="1"/>
        <v>88.8</v>
      </c>
      <c r="W65" s="150">
        <f t="shared" si="2"/>
        <v>88.8</v>
      </c>
      <c r="X65" s="141"/>
    </row>
    <row r="66" spans="4:24" ht="16.5" customHeight="1" thickBot="1" x14ac:dyDescent="0.3">
      <c r="D66" s="164"/>
      <c r="E66" s="165"/>
      <c r="F66" s="166">
        <f>D66+E66</f>
        <v>0</v>
      </c>
      <c r="G66" s="576"/>
      <c r="H66" s="577"/>
      <c r="I66" s="169" t="e">
        <f>#REF!/D66</f>
        <v>#REF!</v>
      </c>
      <c r="J66" s="169" t="e">
        <f>#REF!/E66</f>
        <v>#REF!</v>
      </c>
      <c r="K66" s="169" t="e">
        <f>#REF!/F66</f>
        <v>#REF!</v>
      </c>
      <c r="M66" s="146">
        <v>53</v>
      </c>
      <c r="N66" s="158">
        <v>43382</v>
      </c>
      <c r="O66" s="152" t="s">
        <v>210</v>
      </c>
      <c r="P66" s="152" t="s">
        <v>211</v>
      </c>
      <c r="Q66" s="152">
        <v>246</v>
      </c>
      <c r="R66" s="149">
        <v>0.28999999999999998</v>
      </c>
      <c r="S66" s="148">
        <f>34*2</f>
        <v>68</v>
      </c>
      <c r="T66" s="152">
        <v>2</v>
      </c>
      <c r="U66" s="148">
        <f t="shared" si="0"/>
        <v>39.44</v>
      </c>
      <c r="V66" s="148">
        <f t="shared" si="1"/>
        <v>19.72</v>
      </c>
      <c r="W66" s="150">
        <f t="shared" si="2"/>
        <v>19.72</v>
      </c>
      <c r="X66" s="141"/>
    </row>
    <row r="67" spans="4:24" ht="72" customHeight="1" thickBot="1" x14ac:dyDescent="0.3">
      <c r="D67" s="506" t="s">
        <v>234</v>
      </c>
      <c r="E67" s="507"/>
      <c r="F67" s="507"/>
      <c r="G67" s="507"/>
      <c r="H67" s="539"/>
      <c r="I67" s="539"/>
      <c r="J67" s="539"/>
      <c r="K67" s="540"/>
      <c r="M67" s="146">
        <v>54</v>
      </c>
      <c r="N67" s="158">
        <v>43383</v>
      </c>
      <c r="O67" s="152" t="s">
        <v>210</v>
      </c>
      <c r="P67" s="152" t="s">
        <v>226</v>
      </c>
      <c r="Q67" s="152">
        <v>245</v>
      </c>
      <c r="R67" s="149">
        <v>0.28000000000000003</v>
      </c>
      <c r="S67" s="152">
        <f>147*2</f>
        <v>294</v>
      </c>
      <c r="T67" s="152">
        <v>2</v>
      </c>
      <c r="U67" s="148">
        <f t="shared" si="0"/>
        <v>164.64000000000001</v>
      </c>
      <c r="V67" s="148">
        <f t="shared" si="1"/>
        <v>82.320000000000007</v>
      </c>
      <c r="W67" s="150">
        <f t="shared" si="2"/>
        <v>82.320000000000007</v>
      </c>
    </row>
    <row r="68" spans="4:24" x14ac:dyDescent="0.25">
      <c r="D68" s="497"/>
      <c r="E68" s="498"/>
      <c r="F68" s="498"/>
      <c r="G68" s="498"/>
      <c r="H68" s="498"/>
      <c r="I68" s="498"/>
      <c r="J68" s="498"/>
      <c r="K68" s="499"/>
      <c r="M68" s="146">
        <v>55</v>
      </c>
      <c r="N68" s="147">
        <v>43383</v>
      </c>
      <c r="O68" s="148" t="s">
        <v>210</v>
      </c>
      <c r="P68" s="148" t="s">
        <v>240</v>
      </c>
      <c r="Q68" s="148">
        <v>171</v>
      </c>
      <c r="R68" s="149">
        <v>0.4</v>
      </c>
      <c r="S68" s="148">
        <f>42*2</f>
        <v>84</v>
      </c>
      <c r="T68" s="148">
        <v>2</v>
      </c>
      <c r="U68" s="148">
        <f t="shared" si="0"/>
        <v>67.2</v>
      </c>
      <c r="V68" s="148">
        <f t="shared" si="1"/>
        <v>33.6</v>
      </c>
      <c r="W68" s="150">
        <f t="shared" si="2"/>
        <v>33.6</v>
      </c>
    </row>
    <row r="69" spans="4:24" x14ac:dyDescent="0.25">
      <c r="D69" s="500"/>
      <c r="E69" s="501"/>
      <c r="F69" s="501"/>
      <c r="G69" s="501"/>
      <c r="H69" s="501"/>
      <c r="I69" s="501"/>
      <c r="J69" s="501"/>
      <c r="K69" s="502"/>
      <c r="M69" s="146">
        <v>56</v>
      </c>
      <c r="N69" s="158">
        <v>43384</v>
      </c>
      <c r="O69" s="152" t="s">
        <v>210</v>
      </c>
      <c r="P69" s="152" t="s">
        <v>211</v>
      </c>
      <c r="Q69" s="152">
        <v>155</v>
      </c>
      <c r="R69" s="149">
        <v>0.34</v>
      </c>
      <c r="S69" s="148">
        <f t="shared" ref="S69:S70" si="4">34*2</f>
        <v>68</v>
      </c>
      <c r="T69" s="152">
        <v>2</v>
      </c>
      <c r="U69" s="148">
        <f t="shared" si="0"/>
        <v>46.24</v>
      </c>
      <c r="V69" s="148">
        <f t="shared" si="1"/>
        <v>23.12</v>
      </c>
      <c r="W69" s="150">
        <f t="shared" si="2"/>
        <v>23.12</v>
      </c>
    </row>
    <row r="70" spans="4:24" x14ac:dyDescent="0.25">
      <c r="D70" s="500"/>
      <c r="E70" s="501"/>
      <c r="F70" s="501"/>
      <c r="G70" s="501"/>
      <c r="H70" s="501"/>
      <c r="I70" s="501"/>
      <c r="J70" s="501"/>
      <c r="K70" s="502"/>
      <c r="M70" s="146">
        <v>57</v>
      </c>
      <c r="N70" s="158">
        <v>43384</v>
      </c>
      <c r="O70" s="152" t="s">
        <v>210</v>
      </c>
      <c r="P70" s="152" t="s">
        <v>211</v>
      </c>
      <c r="Q70" s="152">
        <v>155</v>
      </c>
      <c r="R70" s="149">
        <v>0.34</v>
      </c>
      <c r="S70" s="148">
        <f t="shared" si="4"/>
        <v>68</v>
      </c>
      <c r="T70" s="152">
        <v>2</v>
      </c>
      <c r="U70" s="148">
        <f t="shared" si="0"/>
        <v>46.24</v>
      </c>
      <c r="V70" s="148">
        <f t="shared" si="1"/>
        <v>23.12</v>
      </c>
      <c r="W70" s="150">
        <f t="shared" si="2"/>
        <v>23.12</v>
      </c>
    </row>
    <row r="71" spans="4:24" x14ac:dyDescent="0.25">
      <c r="D71" s="500"/>
      <c r="E71" s="501"/>
      <c r="F71" s="501"/>
      <c r="G71" s="501"/>
      <c r="H71" s="501"/>
      <c r="I71" s="501"/>
      <c r="J71" s="501"/>
      <c r="K71" s="502"/>
      <c r="M71" s="146">
        <v>58</v>
      </c>
      <c r="N71" s="158">
        <v>43388</v>
      </c>
      <c r="O71" s="152" t="s">
        <v>210</v>
      </c>
      <c r="P71" s="187" t="s">
        <v>241</v>
      </c>
      <c r="Q71" s="152">
        <v>155</v>
      </c>
      <c r="R71" s="149">
        <v>0.34</v>
      </c>
      <c r="S71" s="152">
        <f>39*2</f>
        <v>78</v>
      </c>
      <c r="T71" s="152">
        <v>2</v>
      </c>
      <c r="U71" s="148">
        <f t="shared" si="0"/>
        <v>53.040000000000006</v>
      </c>
      <c r="V71" s="148">
        <f t="shared" si="1"/>
        <v>26.520000000000003</v>
      </c>
      <c r="W71" s="150">
        <f t="shared" si="2"/>
        <v>26.520000000000003</v>
      </c>
    </row>
    <row r="72" spans="4:24" x14ac:dyDescent="0.25">
      <c r="D72" s="500"/>
      <c r="E72" s="501"/>
      <c r="F72" s="501"/>
      <c r="G72" s="501"/>
      <c r="H72" s="501"/>
      <c r="I72" s="501"/>
      <c r="J72" s="501"/>
      <c r="K72" s="502"/>
      <c r="M72" s="146">
        <v>59</v>
      </c>
      <c r="N72" s="158">
        <v>43389</v>
      </c>
      <c r="O72" s="152" t="s">
        <v>210</v>
      </c>
      <c r="P72" s="187" t="s">
        <v>241</v>
      </c>
      <c r="Q72" s="152">
        <v>227</v>
      </c>
      <c r="R72" s="176">
        <v>0.56999999999999995</v>
      </c>
      <c r="S72" s="152">
        <f>39*2</f>
        <v>78</v>
      </c>
      <c r="T72" s="152">
        <v>2</v>
      </c>
      <c r="U72" s="148">
        <f t="shared" si="0"/>
        <v>88.919999999999987</v>
      </c>
      <c r="V72" s="148">
        <f t="shared" si="1"/>
        <v>44.459999999999994</v>
      </c>
      <c r="W72" s="150">
        <f t="shared" si="2"/>
        <v>44.459999999999994</v>
      </c>
    </row>
    <row r="73" spans="4:24" ht="16.5" thickBot="1" x14ac:dyDescent="0.3">
      <c r="D73" s="503"/>
      <c r="E73" s="504"/>
      <c r="F73" s="504"/>
      <c r="G73" s="504"/>
      <c r="H73" s="504"/>
      <c r="I73" s="504"/>
      <c r="J73" s="504"/>
      <c r="K73" s="505"/>
      <c r="M73" s="146">
        <v>60</v>
      </c>
      <c r="N73" s="158">
        <v>43391</v>
      </c>
      <c r="O73" s="152" t="s">
        <v>210</v>
      </c>
      <c r="P73" s="152" t="s">
        <v>212</v>
      </c>
      <c r="Q73" s="152">
        <v>201</v>
      </c>
      <c r="R73" s="176">
        <v>0.27</v>
      </c>
      <c r="S73" s="152">
        <f>148*2</f>
        <v>296</v>
      </c>
      <c r="T73" s="152">
        <v>2</v>
      </c>
      <c r="U73" s="148">
        <f t="shared" si="0"/>
        <v>159.84</v>
      </c>
      <c r="V73" s="148">
        <f t="shared" si="1"/>
        <v>79.92</v>
      </c>
      <c r="W73" s="150">
        <f t="shared" si="2"/>
        <v>79.92</v>
      </c>
    </row>
    <row r="74" spans="4:24" ht="16.5" thickBot="1" x14ac:dyDescent="0.3">
      <c r="D74" s="506" t="s">
        <v>236</v>
      </c>
      <c r="E74" s="507"/>
      <c r="F74" s="507"/>
      <c r="G74" s="507"/>
      <c r="H74" s="539"/>
      <c r="I74" s="539"/>
      <c r="J74" s="539"/>
      <c r="K74" s="540"/>
      <c r="M74" s="146">
        <v>61</v>
      </c>
      <c r="N74" s="158">
        <v>43403</v>
      </c>
      <c r="O74" s="152" t="s">
        <v>210</v>
      </c>
      <c r="P74" s="152" t="s">
        <v>211</v>
      </c>
      <c r="Q74" s="152">
        <v>155</v>
      </c>
      <c r="R74" s="149">
        <v>0.34</v>
      </c>
      <c r="S74" s="148">
        <f>34*2</f>
        <v>68</v>
      </c>
      <c r="T74" s="152">
        <v>4</v>
      </c>
      <c r="U74" s="148">
        <f t="shared" si="0"/>
        <v>92.48</v>
      </c>
      <c r="V74" s="148">
        <f t="shared" si="1"/>
        <v>23.12</v>
      </c>
      <c r="W74" s="150">
        <f t="shared" si="2"/>
        <v>69.36</v>
      </c>
    </row>
    <row r="75" spans="4:24" x14ac:dyDescent="0.25">
      <c r="D75" s="568"/>
      <c r="E75" s="569"/>
      <c r="F75" s="569"/>
      <c r="G75" s="569"/>
      <c r="H75" s="569"/>
      <c r="I75" s="569"/>
      <c r="J75" s="569"/>
      <c r="K75" s="570"/>
      <c r="M75" s="146">
        <v>62</v>
      </c>
      <c r="N75" s="158">
        <v>43417</v>
      </c>
      <c r="O75" s="152" t="s">
        <v>210</v>
      </c>
      <c r="P75" s="152" t="s">
        <v>211</v>
      </c>
      <c r="Q75" s="152">
        <v>254</v>
      </c>
      <c r="R75" s="176">
        <v>0.12</v>
      </c>
      <c r="S75" s="152">
        <f>34*2</f>
        <v>68</v>
      </c>
      <c r="T75" s="152">
        <v>2</v>
      </c>
      <c r="U75" s="148">
        <f t="shared" si="0"/>
        <v>16.32</v>
      </c>
      <c r="V75" s="148">
        <f t="shared" si="1"/>
        <v>8.16</v>
      </c>
      <c r="W75" s="150">
        <f t="shared" si="2"/>
        <v>8.16</v>
      </c>
    </row>
    <row r="76" spans="4:24" ht="16.5" thickBot="1" x14ac:dyDescent="0.3">
      <c r="D76" s="571"/>
      <c r="E76" s="572"/>
      <c r="F76" s="572"/>
      <c r="G76" s="572"/>
      <c r="H76" s="572"/>
      <c r="I76" s="572"/>
      <c r="J76" s="572"/>
      <c r="K76" s="573"/>
      <c r="M76" s="146">
        <v>63</v>
      </c>
      <c r="N76" s="158">
        <v>43418</v>
      </c>
      <c r="O76" s="152" t="s">
        <v>210</v>
      </c>
      <c r="P76" s="152" t="s">
        <v>237</v>
      </c>
      <c r="Q76" s="152">
        <v>157</v>
      </c>
      <c r="R76" s="176">
        <v>0.33</v>
      </c>
      <c r="S76" s="152">
        <f>22*2</f>
        <v>44</v>
      </c>
      <c r="T76" s="152">
        <v>2</v>
      </c>
      <c r="U76" s="148">
        <f t="shared" si="0"/>
        <v>29.040000000000003</v>
      </c>
      <c r="V76" s="148">
        <f t="shared" si="1"/>
        <v>14.520000000000001</v>
      </c>
      <c r="W76" s="150">
        <f t="shared" si="2"/>
        <v>14.520000000000001</v>
      </c>
    </row>
    <row r="77" spans="4:24" x14ac:dyDescent="0.25">
      <c r="M77" s="146">
        <v>64</v>
      </c>
      <c r="N77" s="158">
        <v>43426</v>
      </c>
      <c r="O77" s="152" t="s">
        <v>210</v>
      </c>
      <c r="P77" s="152" t="s">
        <v>212</v>
      </c>
      <c r="Q77" s="152">
        <v>211</v>
      </c>
      <c r="R77" s="149">
        <v>0.3</v>
      </c>
      <c r="S77" s="152">
        <f>148*2</f>
        <v>296</v>
      </c>
      <c r="T77" s="152">
        <v>3</v>
      </c>
      <c r="U77" s="148">
        <f t="shared" si="0"/>
        <v>266.39999999999998</v>
      </c>
      <c r="V77" s="148">
        <f t="shared" si="1"/>
        <v>88.8</v>
      </c>
      <c r="W77" s="150">
        <f t="shared" si="2"/>
        <v>177.59999999999997</v>
      </c>
    </row>
    <row r="78" spans="4:24" ht="16.5" thickBot="1" x14ac:dyDescent="0.3">
      <c r="M78" s="146">
        <v>65</v>
      </c>
      <c r="N78" s="158">
        <v>43431</v>
      </c>
      <c r="O78" s="152" t="s">
        <v>210</v>
      </c>
      <c r="P78" s="152" t="s">
        <v>211</v>
      </c>
      <c r="Q78" s="152">
        <v>246</v>
      </c>
      <c r="R78" s="149">
        <v>0.28999999999999998</v>
      </c>
      <c r="S78" s="148">
        <f>34*2</f>
        <v>68</v>
      </c>
      <c r="T78" s="152">
        <v>2</v>
      </c>
      <c r="U78" s="148">
        <f t="shared" si="0"/>
        <v>39.44</v>
      </c>
      <c r="V78" s="148">
        <f t="shared" si="1"/>
        <v>19.72</v>
      </c>
      <c r="W78" s="150">
        <f t="shared" si="2"/>
        <v>19.72</v>
      </c>
    </row>
    <row r="79" spans="4:24" ht="16.5" thickBot="1" x14ac:dyDescent="0.3">
      <c r="D79" s="533">
        <v>2020</v>
      </c>
      <c r="E79" s="534"/>
      <c r="F79" s="534"/>
      <c r="G79" s="534"/>
      <c r="H79" s="534"/>
      <c r="I79" s="534"/>
      <c r="J79" s="534"/>
      <c r="K79" s="535"/>
      <c r="M79" s="146">
        <v>66</v>
      </c>
      <c r="N79" s="158">
        <v>43438</v>
      </c>
      <c r="O79" s="152" t="s">
        <v>210</v>
      </c>
      <c r="P79" s="152" t="s">
        <v>211</v>
      </c>
      <c r="Q79" s="152">
        <v>155</v>
      </c>
      <c r="R79" s="149">
        <v>0.34</v>
      </c>
      <c r="S79" s="148">
        <f>34*2</f>
        <v>68</v>
      </c>
      <c r="T79" s="152">
        <v>4</v>
      </c>
      <c r="U79" s="148">
        <f t="shared" ref="U79:U80" si="5">R79*S79*T79</f>
        <v>92.48</v>
      </c>
      <c r="V79" s="148">
        <f t="shared" ref="V79:V80" si="6">R79*S79</f>
        <v>23.12</v>
      </c>
      <c r="W79" s="150">
        <f t="shared" ref="W79:W80" si="7">U79-V79</f>
        <v>69.36</v>
      </c>
    </row>
    <row r="80" spans="4:24" ht="16.5" thickBot="1" x14ac:dyDescent="0.3">
      <c r="D80" s="536" t="s">
        <v>119</v>
      </c>
      <c r="E80" s="537"/>
      <c r="F80" s="537"/>
      <c r="G80" s="537"/>
      <c r="H80" s="536" t="s">
        <v>196</v>
      </c>
      <c r="I80" s="537"/>
      <c r="J80" s="537"/>
      <c r="K80" s="538"/>
      <c r="M80" s="188">
        <v>67</v>
      </c>
      <c r="N80" s="189">
        <v>43438</v>
      </c>
      <c r="O80" s="190" t="s">
        <v>210</v>
      </c>
      <c r="P80" s="190" t="s">
        <v>212</v>
      </c>
      <c r="Q80" s="190">
        <v>212</v>
      </c>
      <c r="R80" s="191">
        <v>0.33</v>
      </c>
      <c r="S80" s="190">
        <f>148*2</f>
        <v>296</v>
      </c>
      <c r="T80" s="190">
        <v>2</v>
      </c>
      <c r="U80" s="148">
        <f t="shared" si="5"/>
        <v>195.36</v>
      </c>
      <c r="V80" s="148">
        <f t="shared" si="6"/>
        <v>97.68</v>
      </c>
      <c r="W80" s="192">
        <f t="shared" si="7"/>
        <v>97.68</v>
      </c>
    </row>
    <row r="81" spans="4:24" ht="16.5" thickBot="1" x14ac:dyDescent="0.3">
      <c r="D81" s="497" t="s">
        <v>197</v>
      </c>
      <c r="E81" s="498"/>
      <c r="F81" s="498"/>
      <c r="G81" s="499"/>
      <c r="H81" s="497" t="s">
        <v>198</v>
      </c>
      <c r="I81" s="498"/>
      <c r="J81" s="498"/>
      <c r="K81" s="499"/>
      <c r="M81" s="578" t="s">
        <v>2</v>
      </c>
      <c r="N81" s="579"/>
      <c r="O81" s="579"/>
      <c r="P81" s="579"/>
      <c r="Q81" s="579"/>
      <c r="R81" s="579"/>
      <c r="S81" s="579"/>
      <c r="T81" s="579"/>
      <c r="U81" s="579"/>
      <c r="V81" s="580"/>
      <c r="W81" s="193">
        <f>SUM(W14:W80)</f>
        <v>3652.1200000000003</v>
      </c>
    </row>
    <row r="82" spans="4:24" ht="132" customHeight="1" x14ac:dyDescent="0.25">
      <c r="D82" s="500"/>
      <c r="E82" s="501"/>
      <c r="F82" s="501"/>
      <c r="G82" s="502"/>
      <c r="H82" s="500"/>
      <c r="I82" s="501"/>
      <c r="J82" s="501"/>
      <c r="K82" s="502"/>
    </row>
    <row r="83" spans="4:24" ht="16.5" thickBot="1" x14ac:dyDescent="0.3">
      <c r="D83" s="500"/>
      <c r="E83" s="501"/>
      <c r="F83" s="501"/>
      <c r="G83" s="502"/>
      <c r="H83" s="500"/>
      <c r="I83" s="501"/>
      <c r="J83" s="501"/>
      <c r="K83" s="502"/>
    </row>
    <row r="84" spans="4:24" x14ac:dyDescent="0.25">
      <c r="D84" s="500"/>
      <c r="E84" s="501"/>
      <c r="F84" s="501"/>
      <c r="G84" s="502"/>
      <c r="H84" s="500"/>
      <c r="I84" s="501"/>
      <c r="J84" s="501"/>
      <c r="K84" s="502"/>
      <c r="M84" s="509" t="s">
        <v>242</v>
      </c>
      <c r="N84" s="510"/>
      <c r="O84" s="510"/>
      <c r="P84" s="510"/>
      <c r="Q84" s="510"/>
      <c r="R84" s="510"/>
      <c r="S84" s="510"/>
      <c r="T84" s="510"/>
      <c r="U84" s="510"/>
      <c r="V84" s="510"/>
      <c r="W84" s="510"/>
      <c r="X84" s="511"/>
    </row>
    <row r="85" spans="4:24" x14ac:dyDescent="0.25">
      <c r="D85" s="500"/>
      <c r="E85" s="501"/>
      <c r="F85" s="501"/>
      <c r="G85" s="502"/>
      <c r="H85" s="500"/>
      <c r="I85" s="501"/>
      <c r="J85" s="501"/>
      <c r="K85" s="502"/>
      <c r="M85" s="512"/>
      <c r="N85" s="513"/>
      <c r="O85" s="513"/>
      <c r="P85" s="513"/>
      <c r="Q85" s="513"/>
      <c r="R85" s="513"/>
      <c r="S85" s="513"/>
      <c r="T85" s="513"/>
      <c r="U85" s="513"/>
      <c r="V85" s="513"/>
      <c r="W85" s="513"/>
      <c r="X85" s="514"/>
    </row>
    <row r="86" spans="4:24" ht="16.5" thickBot="1" x14ac:dyDescent="0.3">
      <c r="D86" s="503"/>
      <c r="E86" s="504"/>
      <c r="F86" s="504"/>
      <c r="G86" s="505"/>
      <c r="H86" s="503"/>
      <c r="I86" s="504"/>
      <c r="J86" s="504"/>
      <c r="K86" s="505"/>
      <c r="M86" s="515"/>
      <c r="N86" s="516"/>
      <c r="O86" s="516"/>
      <c r="P86" s="516"/>
      <c r="Q86" s="516"/>
      <c r="R86" s="516"/>
      <c r="S86" s="516"/>
      <c r="T86" s="516"/>
      <c r="U86" s="516"/>
      <c r="V86" s="516"/>
      <c r="W86" s="516"/>
      <c r="X86" s="517"/>
    </row>
    <row r="87" spans="4:24" ht="51" thickBot="1" x14ac:dyDescent="0.3">
      <c r="D87" s="506" t="s">
        <v>213</v>
      </c>
      <c r="E87" s="507"/>
      <c r="F87" s="507"/>
      <c r="G87" s="508"/>
      <c r="H87" s="506" t="s">
        <v>125</v>
      </c>
      <c r="I87" s="507"/>
      <c r="J87" s="507"/>
      <c r="K87" s="508"/>
      <c r="M87" s="194" t="s">
        <v>199</v>
      </c>
      <c r="N87" s="194" t="s">
        <v>243</v>
      </c>
      <c r="O87" s="194" t="s">
        <v>200</v>
      </c>
      <c r="P87" s="194" t="s">
        <v>201</v>
      </c>
      <c r="Q87" s="194" t="s">
        <v>202</v>
      </c>
      <c r="R87" s="194" t="s">
        <v>203</v>
      </c>
      <c r="S87" s="195" t="s">
        <v>204</v>
      </c>
      <c r="T87" s="195" t="s">
        <v>205</v>
      </c>
      <c r="U87" s="195" t="s">
        <v>206</v>
      </c>
      <c r="V87" s="195" t="s">
        <v>207</v>
      </c>
      <c r="W87" s="195" t="s">
        <v>208</v>
      </c>
      <c r="X87" s="195" t="s">
        <v>209</v>
      </c>
    </row>
    <row r="88" spans="4:24" ht="16.5" thickBot="1" x14ac:dyDescent="0.3">
      <c r="D88" s="497" t="s">
        <v>214</v>
      </c>
      <c r="E88" s="498"/>
      <c r="F88" s="498"/>
      <c r="G88" s="499"/>
      <c r="H88" s="565" t="s">
        <v>215</v>
      </c>
      <c r="I88" s="566"/>
      <c r="J88" s="566"/>
      <c r="K88" s="567"/>
      <c r="M88" s="196">
        <v>1</v>
      </c>
      <c r="N88" s="143"/>
      <c r="O88" s="197">
        <v>43493</v>
      </c>
      <c r="P88" s="143" t="s">
        <v>210</v>
      </c>
      <c r="Q88" s="143" t="s">
        <v>244</v>
      </c>
      <c r="R88" s="143" t="s">
        <v>245</v>
      </c>
      <c r="S88" s="143">
        <v>0.52</v>
      </c>
      <c r="T88" s="198">
        <f>129*2</f>
        <v>258</v>
      </c>
      <c r="U88" s="143">
        <v>5</v>
      </c>
      <c r="V88" s="143">
        <f>S88*T88*U88</f>
        <v>670.8</v>
      </c>
      <c r="W88" s="143">
        <f>S88*T88</f>
        <v>134.16</v>
      </c>
      <c r="X88" s="199">
        <f>V88-W88</f>
        <v>536.64</v>
      </c>
    </row>
    <row r="89" spans="4:24" x14ac:dyDescent="0.25">
      <c r="D89" s="500"/>
      <c r="E89" s="501"/>
      <c r="F89" s="501"/>
      <c r="G89" s="501"/>
      <c r="H89" s="153" t="s">
        <v>217</v>
      </c>
      <c r="I89" s="151" t="s">
        <v>218</v>
      </c>
      <c r="J89" s="153" t="s">
        <v>219</v>
      </c>
      <c r="K89" s="151" t="s">
        <v>218</v>
      </c>
      <c r="M89" s="200">
        <v>2</v>
      </c>
      <c r="N89" s="148"/>
      <c r="O89" s="147">
        <v>43502</v>
      </c>
      <c r="P89" s="148" t="s">
        <v>210</v>
      </c>
      <c r="Q89" s="148" t="s">
        <v>246</v>
      </c>
      <c r="R89" s="148" t="s">
        <v>247</v>
      </c>
      <c r="S89" s="148">
        <v>0.26</v>
      </c>
      <c r="T89" s="177">
        <f>32.1*2</f>
        <v>64.2</v>
      </c>
      <c r="U89" s="148">
        <v>2</v>
      </c>
      <c r="V89" s="170">
        <f t="shared" ref="V89:V131" si="8">S89*T89*U89</f>
        <v>33.384</v>
      </c>
      <c r="W89" s="170">
        <f t="shared" ref="W89:W131" si="9">S89*T89</f>
        <v>16.692</v>
      </c>
      <c r="X89" s="173">
        <f t="shared" ref="X89:X131" si="10">V89-W89</f>
        <v>16.692</v>
      </c>
    </row>
    <row r="90" spans="4:24" ht="34.5" customHeight="1" thickBot="1" x14ac:dyDescent="0.3">
      <c r="D90" s="500"/>
      <c r="E90" s="501"/>
      <c r="F90" s="501"/>
      <c r="G90" s="501"/>
      <c r="H90" s="155">
        <f>M148</f>
        <v>8</v>
      </c>
      <c r="I90" s="156" t="s">
        <v>220</v>
      </c>
      <c r="J90" s="155">
        <f>X149</f>
        <v>454.10399999999998</v>
      </c>
      <c r="K90" s="157" t="s">
        <v>221</v>
      </c>
      <c r="M90" s="200">
        <v>3</v>
      </c>
      <c r="N90" s="148"/>
      <c r="O90" s="147">
        <v>43503</v>
      </c>
      <c r="P90" s="148" t="s">
        <v>210</v>
      </c>
      <c r="Q90" s="148" t="s">
        <v>244</v>
      </c>
      <c r="R90" s="148" t="s">
        <v>248</v>
      </c>
      <c r="S90" s="148">
        <v>0.37</v>
      </c>
      <c r="T90" s="177">
        <f>129*2</f>
        <v>258</v>
      </c>
      <c r="U90" s="148">
        <v>4</v>
      </c>
      <c r="V90" s="170">
        <f t="shared" si="8"/>
        <v>381.84</v>
      </c>
      <c r="W90" s="170">
        <f t="shared" si="9"/>
        <v>95.46</v>
      </c>
      <c r="X90" s="173">
        <f t="shared" si="10"/>
        <v>286.38</v>
      </c>
    </row>
    <row r="91" spans="4:24" ht="19.5" thickBot="1" x14ac:dyDescent="0.3">
      <c r="D91" s="500"/>
      <c r="E91" s="501"/>
      <c r="F91" s="501"/>
      <c r="G91" s="502"/>
      <c r="H91" s="565" t="s">
        <v>223</v>
      </c>
      <c r="I91" s="566"/>
      <c r="J91" s="566"/>
      <c r="K91" s="567"/>
      <c r="M91" s="200">
        <v>4</v>
      </c>
      <c r="N91" s="148"/>
      <c r="O91" s="147">
        <v>43503</v>
      </c>
      <c r="P91" s="148" t="s">
        <v>210</v>
      </c>
      <c r="Q91" s="148" t="s">
        <v>246</v>
      </c>
      <c r="R91" s="148" t="s">
        <v>249</v>
      </c>
      <c r="S91" s="148">
        <v>0.61</v>
      </c>
      <c r="T91" s="177">
        <v>64</v>
      </c>
      <c r="U91" s="148">
        <v>2</v>
      </c>
      <c r="V91" s="170">
        <f t="shared" si="8"/>
        <v>78.08</v>
      </c>
      <c r="W91" s="170">
        <f t="shared" si="9"/>
        <v>39.04</v>
      </c>
      <c r="X91" s="173">
        <f t="shared" si="10"/>
        <v>39.04</v>
      </c>
    </row>
    <row r="92" spans="4:24" x14ac:dyDescent="0.25">
      <c r="D92" s="500"/>
      <c r="E92" s="501"/>
      <c r="F92" s="501"/>
      <c r="G92" s="502"/>
      <c r="H92" s="552">
        <f>J90/1000</f>
        <v>0.45410400000000001</v>
      </c>
      <c r="I92" s="553"/>
      <c r="J92" s="553"/>
      <c r="K92" s="554"/>
      <c r="M92" s="200">
        <v>5</v>
      </c>
      <c r="N92" s="148"/>
      <c r="O92" s="147">
        <v>43504</v>
      </c>
      <c r="P92" s="148" t="s">
        <v>210</v>
      </c>
      <c r="Q92" s="148" t="s">
        <v>244</v>
      </c>
      <c r="R92" s="148" t="s">
        <v>245</v>
      </c>
      <c r="S92" s="148">
        <v>0.52</v>
      </c>
      <c r="T92" s="177">
        <f>129*2</f>
        <v>258</v>
      </c>
      <c r="U92" s="148">
        <v>2</v>
      </c>
      <c r="V92" s="170">
        <f t="shared" si="8"/>
        <v>268.32</v>
      </c>
      <c r="W92" s="170">
        <f t="shared" si="9"/>
        <v>134.16</v>
      </c>
      <c r="X92" s="173">
        <f t="shared" si="10"/>
        <v>134.16</v>
      </c>
    </row>
    <row r="93" spans="4:24" ht="16.5" thickBot="1" x14ac:dyDescent="0.3">
      <c r="D93" s="500"/>
      <c r="E93" s="501"/>
      <c r="F93" s="501"/>
      <c r="G93" s="502"/>
      <c r="H93" s="555"/>
      <c r="I93" s="556"/>
      <c r="J93" s="556"/>
      <c r="K93" s="557"/>
      <c r="M93" s="200">
        <v>6</v>
      </c>
      <c r="N93" s="148"/>
      <c r="O93" s="201">
        <v>43507</v>
      </c>
      <c r="P93" s="148" t="s">
        <v>210</v>
      </c>
      <c r="Q93" s="202" t="s">
        <v>237</v>
      </c>
      <c r="R93" s="148" t="s">
        <v>250</v>
      </c>
      <c r="S93" s="148">
        <v>0.33</v>
      </c>
      <c r="T93" s="177">
        <f>23.4*2</f>
        <v>46.8</v>
      </c>
      <c r="U93" s="141">
        <v>3</v>
      </c>
      <c r="V93" s="170">
        <f>S93*T93*U94</f>
        <v>30.887999999999998</v>
      </c>
      <c r="W93" s="170">
        <f t="shared" si="9"/>
        <v>15.443999999999999</v>
      </c>
      <c r="X93" s="173">
        <f t="shared" si="10"/>
        <v>15.443999999999999</v>
      </c>
    </row>
    <row r="94" spans="4:24" ht="16.5" thickBot="1" x14ac:dyDescent="0.3">
      <c r="D94" s="500"/>
      <c r="E94" s="501"/>
      <c r="F94" s="501"/>
      <c r="G94" s="502"/>
      <c r="H94" s="558" t="s">
        <v>224</v>
      </c>
      <c r="I94" s="559"/>
      <c r="J94" s="559"/>
      <c r="K94" s="560"/>
      <c r="M94" s="200">
        <v>7</v>
      </c>
      <c r="N94" s="148"/>
      <c r="O94" s="147">
        <v>43508</v>
      </c>
      <c r="P94" s="148" t="s">
        <v>210</v>
      </c>
      <c r="Q94" s="148" t="s">
        <v>235</v>
      </c>
      <c r="R94" s="148" t="s">
        <v>251</v>
      </c>
      <c r="S94" s="148">
        <v>0.23</v>
      </c>
      <c r="T94" s="177">
        <f>21.1*2</f>
        <v>42.2</v>
      </c>
      <c r="U94" s="148">
        <v>2</v>
      </c>
      <c r="V94" s="170">
        <f>S94*T94*U95</f>
        <v>19.412000000000003</v>
      </c>
      <c r="W94" s="170">
        <f t="shared" si="9"/>
        <v>9.7060000000000013</v>
      </c>
      <c r="X94" s="173">
        <f t="shared" si="10"/>
        <v>9.7060000000000013</v>
      </c>
    </row>
    <row r="95" spans="4:24" x14ac:dyDescent="0.25">
      <c r="D95" s="500"/>
      <c r="E95" s="501"/>
      <c r="F95" s="501"/>
      <c r="G95" s="501"/>
      <c r="H95" s="561" t="s">
        <v>252</v>
      </c>
      <c r="I95" s="562"/>
      <c r="J95" s="563" t="s">
        <v>132</v>
      </c>
      <c r="K95" s="564"/>
      <c r="M95" s="200">
        <v>8</v>
      </c>
      <c r="N95" s="148"/>
      <c r="O95" s="147">
        <v>43508</v>
      </c>
      <c r="P95" s="148" t="s">
        <v>210</v>
      </c>
      <c r="Q95" s="148" t="s">
        <v>237</v>
      </c>
      <c r="R95" s="148" t="s">
        <v>253</v>
      </c>
      <c r="S95" s="148">
        <v>0.31</v>
      </c>
      <c r="T95" s="177">
        <f t="shared" ref="T95:T97" si="11">23.4*2</f>
        <v>46.8</v>
      </c>
      <c r="U95" s="148">
        <v>2</v>
      </c>
      <c r="V95" s="170">
        <f>S95*T95*U96</f>
        <v>29.015999999999998</v>
      </c>
      <c r="W95" s="170">
        <f t="shared" si="9"/>
        <v>14.507999999999999</v>
      </c>
      <c r="X95" s="173">
        <f t="shared" si="10"/>
        <v>14.507999999999999</v>
      </c>
    </row>
    <row r="96" spans="4:24" x14ac:dyDescent="0.25">
      <c r="D96" s="500"/>
      <c r="E96" s="501"/>
      <c r="F96" s="501"/>
      <c r="G96" s="501"/>
      <c r="H96" s="154" t="s">
        <v>227</v>
      </c>
      <c r="I96" s="160" t="s">
        <v>218</v>
      </c>
      <c r="J96" s="544" t="e">
        <f>(H92/H97)*100</f>
        <v>#DIV/0!</v>
      </c>
      <c r="K96" s="545"/>
      <c r="M96" s="200">
        <v>9</v>
      </c>
      <c r="N96" s="148"/>
      <c r="O96" s="147">
        <v>43509</v>
      </c>
      <c r="P96" s="148" t="s">
        <v>210</v>
      </c>
      <c r="Q96" s="148" t="s">
        <v>237</v>
      </c>
      <c r="R96" s="148" t="s">
        <v>250</v>
      </c>
      <c r="S96" s="148">
        <v>0.33</v>
      </c>
      <c r="T96" s="177">
        <f t="shared" si="11"/>
        <v>46.8</v>
      </c>
      <c r="U96" s="148">
        <v>2</v>
      </c>
      <c r="V96" s="170">
        <f t="shared" si="8"/>
        <v>30.887999999999998</v>
      </c>
      <c r="W96" s="170">
        <f t="shared" si="9"/>
        <v>15.443999999999999</v>
      </c>
      <c r="X96" s="173">
        <f t="shared" si="10"/>
        <v>15.443999999999999</v>
      </c>
    </row>
    <row r="97" spans="4:24" ht="19.5" thickBot="1" x14ac:dyDescent="0.3">
      <c r="D97" s="503"/>
      <c r="E97" s="504"/>
      <c r="F97" s="504"/>
      <c r="G97" s="504"/>
      <c r="H97" s="159"/>
      <c r="I97" s="162" t="s">
        <v>228</v>
      </c>
      <c r="J97" s="546"/>
      <c r="K97" s="547"/>
      <c r="M97" s="200">
        <v>10</v>
      </c>
      <c r="N97" s="148"/>
      <c r="O97" s="147">
        <v>43509</v>
      </c>
      <c r="P97" s="148" t="s">
        <v>210</v>
      </c>
      <c r="Q97" s="148" t="s">
        <v>237</v>
      </c>
      <c r="R97" s="148" t="s">
        <v>254</v>
      </c>
      <c r="S97" s="148">
        <v>0.36</v>
      </c>
      <c r="T97" s="177">
        <f t="shared" si="11"/>
        <v>46.8</v>
      </c>
      <c r="U97" s="148">
        <v>2</v>
      </c>
      <c r="V97" s="170">
        <f t="shared" si="8"/>
        <v>33.695999999999998</v>
      </c>
      <c r="W97" s="170">
        <f t="shared" si="9"/>
        <v>16.847999999999999</v>
      </c>
      <c r="X97" s="173">
        <f t="shared" si="10"/>
        <v>16.847999999999999</v>
      </c>
    </row>
    <row r="98" spans="4:24" ht="16.5" thickBot="1" x14ac:dyDescent="0.3">
      <c r="D98" s="506" t="s">
        <v>189</v>
      </c>
      <c r="E98" s="507"/>
      <c r="F98" s="507"/>
      <c r="G98" s="507"/>
      <c r="H98" s="539"/>
      <c r="I98" s="539"/>
      <c r="J98" s="539"/>
      <c r="K98" s="540"/>
      <c r="M98" s="200">
        <v>11</v>
      </c>
      <c r="N98" s="148"/>
      <c r="O98" s="147">
        <v>43530</v>
      </c>
      <c r="P98" s="148" t="s">
        <v>210</v>
      </c>
      <c r="Q98" s="148" t="s">
        <v>244</v>
      </c>
      <c r="R98" s="148" t="s">
        <v>248</v>
      </c>
      <c r="S98" s="148">
        <v>0.37</v>
      </c>
      <c r="T98" s="177">
        <f>129*2</f>
        <v>258</v>
      </c>
      <c r="U98" s="148">
        <v>3</v>
      </c>
      <c r="V98" s="170">
        <f t="shared" si="8"/>
        <v>286.38</v>
      </c>
      <c r="W98" s="170">
        <f t="shared" si="9"/>
        <v>95.46</v>
      </c>
      <c r="X98" s="173">
        <f t="shared" si="10"/>
        <v>190.92000000000002</v>
      </c>
    </row>
    <row r="99" spans="4:24" ht="16.5" thickBot="1" x14ac:dyDescent="0.3">
      <c r="D99" s="541" t="s">
        <v>230</v>
      </c>
      <c r="E99" s="542"/>
      <c r="F99" s="543"/>
      <c r="G99" s="548" t="s">
        <v>231</v>
      </c>
      <c r="H99" s="548"/>
      <c r="I99" s="549" t="s">
        <v>232</v>
      </c>
      <c r="J99" s="550"/>
      <c r="K99" s="551"/>
      <c r="M99" s="200">
        <v>12</v>
      </c>
      <c r="N99" s="148"/>
      <c r="O99" s="147">
        <v>43530</v>
      </c>
      <c r="P99" s="148" t="s">
        <v>210</v>
      </c>
      <c r="Q99" s="148" t="s">
        <v>255</v>
      </c>
      <c r="R99" s="148" t="s">
        <v>256</v>
      </c>
      <c r="S99" s="148">
        <v>0.45</v>
      </c>
      <c r="T99" s="177">
        <f>148*2</f>
        <v>296</v>
      </c>
      <c r="U99" s="148">
        <v>2</v>
      </c>
      <c r="V99" s="170">
        <f t="shared" si="8"/>
        <v>266.40000000000003</v>
      </c>
      <c r="W99" s="170">
        <f t="shared" si="9"/>
        <v>133.20000000000002</v>
      </c>
      <c r="X99" s="173">
        <f t="shared" si="10"/>
        <v>133.20000000000002</v>
      </c>
    </row>
    <row r="100" spans="4:24" x14ac:dyDescent="0.25">
      <c r="D100" s="163" t="s">
        <v>192</v>
      </c>
      <c r="E100" s="144" t="s">
        <v>193</v>
      </c>
      <c r="F100" s="167" t="s">
        <v>2</v>
      </c>
      <c r="G100" s="574">
        <v>142.53</v>
      </c>
      <c r="H100" s="575"/>
      <c r="I100" s="168" t="s">
        <v>192</v>
      </c>
      <c r="J100" s="144" t="s">
        <v>193</v>
      </c>
      <c r="K100" s="145" t="s">
        <v>2</v>
      </c>
      <c r="M100" s="200">
        <v>13</v>
      </c>
      <c r="N100" s="148"/>
      <c r="O100" s="147">
        <v>43537</v>
      </c>
      <c r="P100" s="148" t="s">
        <v>210</v>
      </c>
      <c r="Q100" s="148" t="s">
        <v>237</v>
      </c>
      <c r="R100" s="148" t="s">
        <v>257</v>
      </c>
      <c r="S100" s="148">
        <v>0.14000000000000001</v>
      </c>
      <c r="T100" s="177">
        <f>23.4*2</f>
        <v>46.8</v>
      </c>
      <c r="U100" s="148">
        <v>3</v>
      </c>
      <c r="V100" s="170">
        <f t="shared" si="8"/>
        <v>19.656000000000002</v>
      </c>
      <c r="W100" s="170">
        <f t="shared" si="9"/>
        <v>6.5520000000000005</v>
      </c>
      <c r="X100" s="173">
        <f t="shared" si="10"/>
        <v>13.104000000000003</v>
      </c>
    </row>
    <row r="101" spans="4:24" ht="16.5" thickBot="1" x14ac:dyDescent="0.3">
      <c r="D101" s="164">
        <v>7422</v>
      </c>
      <c r="E101" s="165">
        <v>1452</v>
      </c>
      <c r="F101" s="166">
        <f>D101+E101</f>
        <v>8874</v>
      </c>
      <c r="G101" s="576"/>
      <c r="H101" s="577"/>
      <c r="I101" s="169">
        <f>G100/D101</f>
        <v>1.9203718674211803E-2</v>
      </c>
      <c r="J101" s="169">
        <f>G100/E101</f>
        <v>9.8161157024793388E-2</v>
      </c>
      <c r="K101" s="169">
        <f>G100/F101</f>
        <v>1.6061528059499661E-2</v>
      </c>
      <c r="M101" s="200">
        <v>14</v>
      </c>
      <c r="N101" s="148"/>
      <c r="O101" s="147">
        <v>43537</v>
      </c>
      <c r="P101" s="148" t="s">
        <v>210</v>
      </c>
      <c r="Q101" s="148" t="s">
        <v>246</v>
      </c>
      <c r="R101" s="148" t="s">
        <v>258</v>
      </c>
      <c r="S101" s="148">
        <v>0.23</v>
      </c>
      <c r="T101" s="177">
        <f>32.1*2</f>
        <v>64.2</v>
      </c>
      <c r="U101" s="148">
        <v>2</v>
      </c>
      <c r="V101" s="170">
        <f t="shared" si="8"/>
        <v>29.532000000000004</v>
      </c>
      <c r="W101" s="170">
        <f t="shared" si="9"/>
        <v>14.766000000000002</v>
      </c>
      <c r="X101" s="173">
        <f t="shared" si="10"/>
        <v>14.766000000000002</v>
      </c>
    </row>
    <row r="102" spans="4:24" ht="16.5" thickBot="1" x14ac:dyDescent="0.3">
      <c r="D102" s="506" t="s">
        <v>234</v>
      </c>
      <c r="E102" s="507"/>
      <c r="F102" s="507"/>
      <c r="G102" s="507"/>
      <c r="H102" s="539"/>
      <c r="I102" s="539"/>
      <c r="J102" s="539"/>
      <c r="K102" s="540"/>
      <c r="M102" s="200">
        <v>15</v>
      </c>
      <c r="N102" s="148"/>
      <c r="O102" s="147">
        <v>43904</v>
      </c>
      <c r="P102" s="148" t="s">
        <v>210</v>
      </c>
      <c r="Q102" s="148" t="s">
        <v>259</v>
      </c>
      <c r="R102" s="148" t="s">
        <v>257</v>
      </c>
      <c r="S102" s="148">
        <v>0.14000000000000001</v>
      </c>
      <c r="T102" s="177">
        <f>23.8*2</f>
        <v>47.6</v>
      </c>
      <c r="U102" s="148">
        <v>2</v>
      </c>
      <c r="V102" s="170">
        <f t="shared" si="8"/>
        <v>13.328000000000001</v>
      </c>
      <c r="W102" s="170">
        <f t="shared" si="9"/>
        <v>6.6640000000000006</v>
      </c>
      <c r="X102" s="173">
        <f t="shared" si="10"/>
        <v>6.6640000000000006</v>
      </c>
    </row>
    <row r="103" spans="4:24" x14ac:dyDescent="0.25">
      <c r="D103" s="497"/>
      <c r="E103" s="498"/>
      <c r="F103" s="498"/>
      <c r="G103" s="498"/>
      <c r="H103" s="498"/>
      <c r="I103" s="498"/>
      <c r="J103" s="498"/>
      <c r="K103" s="499"/>
      <c r="M103" s="200">
        <v>16</v>
      </c>
      <c r="N103" s="148"/>
      <c r="O103" s="147">
        <v>43546</v>
      </c>
      <c r="P103" s="148" t="s">
        <v>210</v>
      </c>
      <c r="Q103" s="148" t="s">
        <v>244</v>
      </c>
      <c r="R103" s="148" t="s">
        <v>254</v>
      </c>
      <c r="S103" s="148">
        <v>0.36</v>
      </c>
      <c r="T103" s="177">
        <f>129*2</f>
        <v>258</v>
      </c>
      <c r="U103" s="148">
        <v>6</v>
      </c>
      <c r="V103" s="170">
        <f t="shared" si="8"/>
        <v>557.28</v>
      </c>
      <c r="W103" s="170">
        <f t="shared" si="9"/>
        <v>92.88</v>
      </c>
      <c r="X103" s="173">
        <f t="shared" si="10"/>
        <v>464.4</v>
      </c>
    </row>
    <row r="104" spans="4:24" x14ac:dyDescent="0.25">
      <c r="D104" s="500"/>
      <c r="E104" s="501"/>
      <c r="F104" s="501"/>
      <c r="G104" s="501"/>
      <c r="H104" s="501"/>
      <c r="I104" s="501"/>
      <c r="J104" s="501"/>
      <c r="K104" s="502"/>
      <c r="M104" s="200">
        <v>17</v>
      </c>
      <c r="N104" s="148"/>
      <c r="O104" s="147">
        <v>43557</v>
      </c>
      <c r="P104" s="148" t="s">
        <v>210</v>
      </c>
      <c r="Q104" s="148" t="s">
        <v>246</v>
      </c>
      <c r="R104" s="148" t="s">
        <v>254</v>
      </c>
      <c r="S104" s="148">
        <v>0.36</v>
      </c>
      <c r="T104" s="177">
        <f>32.1*2</f>
        <v>64.2</v>
      </c>
      <c r="U104" s="148">
        <v>3</v>
      </c>
      <c r="V104" s="170">
        <f t="shared" si="8"/>
        <v>69.336000000000013</v>
      </c>
      <c r="W104" s="170">
        <f t="shared" si="9"/>
        <v>23.112000000000002</v>
      </c>
      <c r="X104" s="173">
        <f t="shared" si="10"/>
        <v>46.224000000000011</v>
      </c>
    </row>
    <row r="105" spans="4:24" x14ac:dyDescent="0.25">
      <c r="D105" s="500"/>
      <c r="E105" s="501"/>
      <c r="F105" s="501"/>
      <c r="G105" s="501"/>
      <c r="H105" s="501"/>
      <c r="I105" s="501"/>
      <c r="J105" s="501"/>
      <c r="K105" s="502"/>
      <c r="M105" s="200">
        <v>18</v>
      </c>
      <c r="N105" s="148"/>
      <c r="O105" s="147">
        <v>43926</v>
      </c>
      <c r="P105" s="148" t="s">
        <v>210</v>
      </c>
      <c r="Q105" s="148" t="s">
        <v>244</v>
      </c>
      <c r="R105" s="148" t="s">
        <v>260</v>
      </c>
      <c r="S105" s="148">
        <v>0.36</v>
      </c>
      <c r="T105" s="177">
        <f>129*2</f>
        <v>258</v>
      </c>
      <c r="U105" s="148">
        <v>8</v>
      </c>
      <c r="V105" s="170">
        <f t="shared" si="8"/>
        <v>743.04</v>
      </c>
      <c r="W105" s="170">
        <f t="shared" si="9"/>
        <v>92.88</v>
      </c>
      <c r="X105" s="173">
        <f t="shared" si="10"/>
        <v>650.16</v>
      </c>
    </row>
    <row r="106" spans="4:24" x14ac:dyDescent="0.25">
      <c r="D106" s="500"/>
      <c r="E106" s="501"/>
      <c r="F106" s="501"/>
      <c r="G106" s="501"/>
      <c r="H106" s="501"/>
      <c r="I106" s="501"/>
      <c r="J106" s="501"/>
      <c r="K106" s="502"/>
      <c r="M106" s="200">
        <v>19</v>
      </c>
      <c r="N106" s="148"/>
      <c r="O106" s="147">
        <v>43564</v>
      </c>
      <c r="P106" s="148" t="s">
        <v>210</v>
      </c>
      <c r="Q106" s="148" t="s">
        <v>246</v>
      </c>
      <c r="R106" s="148" t="s">
        <v>250</v>
      </c>
      <c r="S106" s="148">
        <v>0.33</v>
      </c>
      <c r="T106" s="177">
        <f>32.1*2</f>
        <v>64.2</v>
      </c>
      <c r="U106" s="148">
        <v>2</v>
      </c>
      <c r="V106" s="170">
        <f t="shared" si="8"/>
        <v>42.372000000000007</v>
      </c>
      <c r="W106" s="170">
        <f t="shared" si="9"/>
        <v>21.186000000000003</v>
      </c>
      <c r="X106" s="173">
        <f t="shared" si="10"/>
        <v>21.186000000000003</v>
      </c>
    </row>
    <row r="107" spans="4:24" x14ac:dyDescent="0.25">
      <c r="D107" s="500"/>
      <c r="E107" s="501"/>
      <c r="F107" s="501"/>
      <c r="G107" s="501"/>
      <c r="H107" s="501"/>
      <c r="I107" s="501"/>
      <c r="J107" s="501"/>
      <c r="K107" s="502"/>
      <c r="M107" s="200">
        <v>20</v>
      </c>
      <c r="N107" s="148"/>
      <c r="O107" s="147">
        <v>43580</v>
      </c>
      <c r="P107" s="148" t="s">
        <v>210</v>
      </c>
      <c r="Q107" s="148" t="s">
        <v>255</v>
      </c>
      <c r="R107" s="148" t="s">
        <v>261</v>
      </c>
      <c r="S107" s="148">
        <v>0.38</v>
      </c>
      <c r="T107" s="177">
        <f t="shared" ref="T107:T108" si="12">148*2</f>
        <v>296</v>
      </c>
      <c r="U107" s="148">
        <v>3</v>
      </c>
      <c r="V107" s="170">
        <f t="shared" si="8"/>
        <v>337.44</v>
      </c>
      <c r="W107" s="170">
        <f t="shared" si="9"/>
        <v>112.48</v>
      </c>
      <c r="X107" s="173">
        <f t="shared" si="10"/>
        <v>224.95999999999998</v>
      </c>
    </row>
    <row r="108" spans="4:24" ht="16.5" thickBot="1" x14ac:dyDescent="0.3">
      <c r="D108" s="503"/>
      <c r="E108" s="504"/>
      <c r="F108" s="504"/>
      <c r="G108" s="504"/>
      <c r="H108" s="504"/>
      <c r="I108" s="504"/>
      <c r="J108" s="504"/>
      <c r="K108" s="505"/>
      <c r="M108" s="200">
        <v>21</v>
      </c>
      <c r="N108" s="148"/>
      <c r="O108" s="147">
        <v>43581</v>
      </c>
      <c r="P108" s="148" t="s">
        <v>210</v>
      </c>
      <c r="Q108" s="148" t="s">
        <v>255</v>
      </c>
      <c r="R108" s="148" t="s">
        <v>260</v>
      </c>
      <c r="S108" s="148">
        <v>0.36</v>
      </c>
      <c r="T108" s="177">
        <f t="shared" si="12"/>
        <v>296</v>
      </c>
      <c r="U108" s="148">
        <v>3</v>
      </c>
      <c r="V108" s="170">
        <f t="shared" si="8"/>
        <v>319.68</v>
      </c>
      <c r="W108" s="170">
        <f t="shared" si="9"/>
        <v>106.56</v>
      </c>
      <c r="X108" s="173">
        <f t="shared" si="10"/>
        <v>213.12</v>
      </c>
    </row>
    <row r="109" spans="4:24" ht="16.5" thickBot="1" x14ac:dyDescent="0.3">
      <c r="D109" s="506" t="s">
        <v>236</v>
      </c>
      <c r="E109" s="507"/>
      <c r="F109" s="507"/>
      <c r="G109" s="507"/>
      <c r="H109" s="539"/>
      <c r="I109" s="539"/>
      <c r="J109" s="539"/>
      <c r="K109" s="540"/>
      <c r="M109" s="200">
        <v>22</v>
      </c>
      <c r="N109" s="148"/>
      <c r="O109" s="147">
        <v>43581</v>
      </c>
      <c r="P109" s="148" t="s">
        <v>210</v>
      </c>
      <c r="Q109" s="148" t="s">
        <v>244</v>
      </c>
      <c r="R109" s="148" t="s">
        <v>261</v>
      </c>
      <c r="S109" s="148">
        <v>0.38</v>
      </c>
      <c r="T109" s="177">
        <f>129*2</f>
        <v>258</v>
      </c>
      <c r="U109" s="148">
        <v>2</v>
      </c>
      <c r="V109" s="170">
        <f t="shared" si="8"/>
        <v>196.08</v>
      </c>
      <c r="W109" s="170">
        <f t="shared" si="9"/>
        <v>98.04</v>
      </c>
      <c r="X109" s="173">
        <f t="shared" si="10"/>
        <v>98.04</v>
      </c>
    </row>
    <row r="110" spans="4:24" x14ac:dyDescent="0.25">
      <c r="D110" s="581" t="s">
        <v>262</v>
      </c>
      <c r="E110" s="582"/>
      <c r="F110" s="582"/>
      <c r="G110" s="582"/>
      <c r="H110" s="582"/>
      <c r="I110" s="582"/>
      <c r="J110" s="582"/>
      <c r="K110" s="583"/>
      <c r="M110" s="200">
        <v>23</v>
      </c>
      <c r="N110" s="148"/>
      <c r="O110" s="147">
        <v>43581</v>
      </c>
      <c r="P110" s="148" t="s">
        <v>210</v>
      </c>
      <c r="Q110" s="148" t="s">
        <v>237</v>
      </c>
      <c r="R110" s="148" t="s">
        <v>263</v>
      </c>
      <c r="S110" s="148">
        <v>0.34</v>
      </c>
      <c r="T110" s="177">
        <f>23.4*2</f>
        <v>46.8</v>
      </c>
      <c r="U110" s="148">
        <v>2</v>
      </c>
      <c r="V110" s="170">
        <f t="shared" si="8"/>
        <v>31.824000000000002</v>
      </c>
      <c r="W110" s="170">
        <f t="shared" si="9"/>
        <v>15.912000000000001</v>
      </c>
      <c r="X110" s="173">
        <f t="shared" si="10"/>
        <v>15.912000000000001</v>
      </c>
    </row>
    <row r="111" spans="4:24" ht="16.5" thickBot="1" x14ac:dyDescent="0.3">
      <c r="D111" s="584"/>
      <c r="E111" s="585"/>
      <c r="F111" s="585"/>
      <c r="G111" s="585"/>
      <c r="H111" s="585"/>
      <c r="I111" s="585"/>
      <c r="J111" s="585"/>
      <c r="K111" s="586"/>
      <c r="M111" s="200">
        <v>24</v>
      </c>
      <c r="N111" s="148"/>
      <c r="O111" s="147">
        <v>43592</v>
      </c>
      <c r="P111" s="148" t="s">
        <v>210</v>
      </c>
      <c r="Q111" s="148" t="s">
        <v>244</v>
      </c>
      <c r="R111" s="148" t="s">
        <v>261</v>
      </c>
      <c r="S111" s="148">
        <v>0.38</v>
      </c>
      <c r="T111" s="177">
        <f>129*2</f>
        <v>258</v>
      </c>
      <c r="U111" s="148">
        <v>6</v>
      </c>
      <c r="V111" s="170">
        <f t="shared" si="8"/>
        <v>588.24</v>
      </c>
      <c r="W111" s="170">
        <f t="shared" si="9"/>
        <v>98.04</v>
      </c>
      <c r="X111" s="173">
        <f t="shared" si="10"/>
        <v>490.2</v>
      </c>
    </row>
    <row r="112" spans="4:24" x14ac:dyDescent="0.25">
      <c r="M112" s="200">
        <v>25</v>
      </c>
      <c r="N112" s="148"/>
      <c r="O112" s="147">
        <v>43594</v>
      </c>
      <c r="P112" s="148" t="s">
        <v>210</v>
      </c>
      <c r="Q112" s="148" t="s">
        <v>246</v>
      </c>
      <c r="R112" s="148" t="s">
        <v>264</v>
      </c>
      <c r="S112" s="148">
        <v>0.39</v>
      </c>
      <c r="T112" s="177">
        <f t="shared" ref="T112:T113" si="13">32.1*2</f>
        <v>64.2</v>
      </c>
      <c r="U112" s="148">
        <v>2</v>
      </c>
      <c r="V112" s="170">
        <f t="shared" si="8"/>
        <v>50.076000000000001</v>
      </c>
      <c r="W112" s="170">
        <f t="shared" si="9"/>
        <v>25.038</v>
      </c>
      <c r="X112" s="173">
        <f t="shared" si="10"/>
        <v>25.038</v>
      </c>
    </row>
    <row r="113" spans="4:24" ht="16.5" thickBot="1" x14ac:dyDescent="0.3">
      <c r="M113" s="200">
        <v>26</v>
      </c>
      <c r="N113" s="148"/>
      <c r="O113" s="147">
        <v>43599</v>
      </c>
      <c r="P113" s="148" t="s">
        <v>210</v>
      </c>
      <c r="Q113" s="148" t="s">
        <v>246</v>
      </c>
      <c r="R113" s="148" t="s">
        <v>265</v>
      </c>
      <c r="S113" s="148">
        <v>0.15</v>
      </c>
      <c r="T113" s="177">
        <f t="shared" si="13"/>
        <v>64.2</v>
      </c>
      <c r="U113" s="148">
        <v>2</v>
      </c>
      <c r="V113" s="170">
        <f t="shared" si="8"/>
        <v>19.260000000000002</v>
      </c>
      <c r="W113" s="170">
        <f t="shared" si="9"/>
        <v>9.6300000000000008</v>
      </c>
      <c r="X113" s="173">
        <f t="shared" si="10"/>
        <v>9.6300000000000008</v>
      </c>
    </row>
    <row r="114" spans="4:24" ht="16.5" thickBot="1" x14ac:dyDescent="0.3">
      <c r="D114" s="533">
        <v>2022</v>
      </c>
      <c r="E114" s="534"/>
      <c r="F114" s="534"/>
      <c r="G114" s="534"/>
      <c r="H114" s="534"/>
      <c r="I114" s="534"/>
      <c r="J114" s="534"/>
      <c r="K114" s="535"/>
      <c r="M114" s="200">
        <v>27</v>
      </c>
      <c r="N114" s="148"/>
      <c r="O114" s="147">
        <v>43616</v>
      </c>
      <c r="P114" s="148" t="s">
        <v>210</v>
      </c>
      <c r="Q114" s="148" t="s">
        <v>244</v>
      </c>
      <c r="R114" s="148" t="s">
        <v>260</v>
      </c>
      <c r="S114" s="148">
        <v>0.36</v>
      </c>
      <c r="T114" s="177">
        <f>129*2</f>
        <v>258</v>
      </c>
      <c r="U114" s="148">
        <v>6</v>
      </c>
      <c r="V114" s="170">
        <f t="shared" si="8"/>
        <v>557.28</v>
      </c>
      <c r="W114" s="170">
        <f t="shared" si="9"/>
        <v>92.88</v>
      </c>
      <c r="X114" s="173">
        <f t="shared" si="10"/>
        <v>464.4</v>
      </c>
    </row>
    <row r="115" spans="4:24" ht="16.5" thickBot="1" x14ac:dyDescent="0.3">
      <c r="D115" s="536" t="s">
        <v>119</v>
      </c>
      <c r="E115" s="537"/>
      <c r="F115" s="537"/>
      <c r="G115" s="537"/>
      <c r="H115" s="536" t="s">
        <v>196</v>
      </c>
      <c r="I115" s="537"/>
      <c r="J115" s="537"/>
      <c r="K115" s="538"/>
      <c r="M115" s="200">
        <v>28</v>
      </c>
      <c r="N115" s="148"/>
      <c r="O115" s="147">
        <v>43620</v>
      </c>
      <c r="P115" s="148" t="s">
        <v>210</v>
      </c>
      <c r="Q115" s="148" t="s">
        <v>246</v>
      </c>
      <c r="R115" s="148" t="s">
        <v>263</v>
      </c>
      <c r="S115" s="148">
        <v>0.34</v>
      </c>
      <c r="T115" s="177">
        <f>23.8*2</f>
        <v>47.6</v>
      </c>
      <c r="U115" s="148">
        <v>3</v>
      </c>
      <c r="V115" s="170">
        <f t="shared" si="8"/>
        <v>48.552000000000007</v>
      </c>
      <c r="W115" s="170">
        <f t="shared" si="9"/>
        <v>16.184000000000001</v>
      </c>
      <c r="X115" s="173">
        <f t="shared" si="10"/>
        <v>32.368000000000009</v>
      </c>
    </row>
    <row r="116" spans="4:24" x14ac:dyDescent="0.25">
      <c r="D116" s="497" t="s">
        <v>266</v>
      </c>
      <c r="E116" s="498"/>
      <c r="F116" s="498"/>
      <c r="G116" s="499"/>
      <c r="H116" s="497" t="s">
        <v>198</v>
      </c>
      <c r="I116" s="498"/>
      <c r="J116" s="498"/>
      <c r="K116" s="499"/>
      <c r="M116" s="200">
        <v>29</v>
      </c>
      <c r="N116" s="148"/>
      <c r="O116" s="147">
        <v>43620</v>
      </c>
      <c r="P116" s="148" t="s">
        <v>210</v>
      </c>
      <c r="Q116" s="148" t="s">
        <v>246</v>
      </c>
      <c r="R116" s="148" t="s">
        <v>261</v>
      </c>
      <c r="S116" s="148">
        <v>0.38</v>
      </c>
      <c r="T116" s="177">
        <f t="shared" ref="T116" si="14">32.1*2</f>
        <v>64.2</v>
      </c>
      <c r="U116" s="148">
        <v>2</v>
      </c>
      <c r="V116" s="170">
        <f t="shared" si="8"/>
        <v>48.792000000000002</v>
      </c>
      <c r="W116" s="170">
        <f t="shared" si="9"/>
        <v>24.396000000000001</v>
      </c>
      <c r="X116" s="173">
        <f t="shared" si="10"/>
        <v>24.396000000000001</v>
      </c>
    </row>
    <row r="117" spans="4:24" x14ac:dyDescent="0.25">
      <c r="D117" s="500"/>
      <c r="E117" s="501"/>
      <c r="F117" s="501"/>
      <c r="G117" s="502"/>
      <c r="H117" s="500"/>
      <c r="I117" s="501"/>
      <c r="J117" s="501"/>
      <c r="K117" s="502"/>
      <c r="M117" s="203">
        <v>30</v>
      </c>
      <c r="N117" s="204"/>
      <c r="O117" s="205">
        <v>43635</v>
      </c>
      <c r="P117" s="204" t="s">
        <v>210</v>
      </c>
      <c r="Q117" s="204" t="s">
        <v>255</v>
      </c>
      <c r="R117" s="204" t="s">
        <v>267</v>
      </c>
      <c r="S117" s="148">
        <v>0.36</v>
      </c>
      <c r="T117" s="177">
        <f>148*2</f>
        <v>296</v>
      </c>
      <c r="U117" s="204">
        <v>4</v>
      </c>
      <c r="V117" s="206">
        <f t="shared" si="8"/>
        <v>426.24</v>
      </c>
      <c r="W117" s="148">
        <f t="shared" si="9"/>
        <v>106.56</v>
      </c>
      <c r="X117" s="150">
        <f t="shared" si="10"/>
        <v>319.68</v>
      </c>
    </row>
    <row r="118" spans="4:24" s="140" customFormat="1" x14ac:dyDescent="0.2">
      <c r="D118" s="500"/>
      <c r="E118" s="501"/>
      <c r="F118" s="501"/>
      <c r="G118" s="502"/>
      <c r="H118" s="500"/>
      <c r="I118" s="501"/>
      <c r="J118" s="501"/>
      <c r="K118" s="502"/>
      <c r="M118" s="200">
        <v>31</v>
      </c>
      <c r="N118" s="148"/>
      <c r="O118" s="147">
        <v>43704</v>
      </c>
      <c r="P118" s="148" t="s">
        <v>210</v>
      </c>
      <c r="Q118" s="148" t="s">
        <v>246</v>
      </c>
      <c r="R118" s="148" t="s">
        <v>249</v>
      </c>
      <c r="S118" s="148">
        <v>0.61</v>
      </c>
      <c r="T118" s="177">
        <f>32.1*2</f>
        <v>64.2</v>
      </c>
      <c r="U118" s="148">
        <v>2</v>
      </c>
      <c r="V118" s="148">
        <f t="shared" si="8"/>
        <v>78.323999999999998</v>
      </c>
      <c r="W118" s="148">
        <f t="shared" si="9"/>
        <v>39.161999999999999</v>
      </c>
      <c r="X118" s="150">
        <f t="shared" si="10"/>
        <v>39.161999999999999</v>
      </c>
    </row>
    <row r="119" spans="4:24" x14ac:dyDescent="0.25">
      <c r="D119" s="500"/>
      <c r="E119" s="501"/>
      <c r="F119" s="501"/>
      <c r="G119" s="502"/>
      <c r="H119" s="500"/>
      <c r="I119" s="501"/>
      <c r="J119" s="501"/>
      <c r="K119" s="502"/>
      <c r="M119" s="207">
        <v>32</v>
      </c>
      <c r="N119" s="152"/>
      <c r="O119" s="158">
        <v>43711</v>
      </c>
      <c r="P119" s="148" t="s">
        <v>210</v>
      </c>
      <c r="Q119" s="148" t="s">
        <v>268</v>
      </c>
      <c r="R119" s="152" t="s">
        <v>269</v>
      </c>
      <c r="S119" s="152">
        <v>0.15</v>
      </c>
      <c r="T119" s="208">
        <f>23.9*2</f>
        <v>47.8</v>
      </c>
      <c r="U119" s="148">
        <v>4</v>
      </c>
      <c r="V119" s="152">
        <f t="shared" si="8"/>
        <v>28.679999999999996</v>
      </c>
      <c r="W119" s="148">
        <f t="shared" si="9"/>
        <v>7.169999999999999</v>
      </c>
      <c r="X119" s="150">
        <f t="shared" si="10"/>
        <v>21.509999999999998</v>
      </c>
    </row>
    <row r="120" spans="4:24" x14ac:dyDescent="0.25">
      <c r="D120" s="500"/>
      <c r="E120" s="501"/>
      <c r="F120" s="501"/>
      <c r="G120" s="502"/>
      <c r="H120" s="500"/>
      <c r="I120" s="501"/>
      <c r="J120" s="501"/>
      <c r="K120" s="502"/>
      <c r="M120" s="207">
        <v>33</v>
      </c>
      <c r="N120" s="152"/>
      <c r="O120" s="158">
        <v>43711</v>
      </c>
      <c r="P120" s="148" t="s">
        <v>210</v>
      </c>
      <c r="Q120" s="148" t="s">
        <v>246</v>
      </c>
      <c r="R120" s="152" t="s">
        <v>261</v>
      </c>
      <c r="S120" s="148">
        <v>0.38</v>
      </c>
      <c r="T120" s="177">
        <f>32.1*2</f>
        <v>64.2</v>
      </c>
      <c r="U120" s="148">
        <v>4</v>
      </c>
      <c r="V120" s="152">
        <f t="shared" si="8"/>
        <v>97.584000000000003</v>
      </c>
      <c r="W120" s="148">
        <f t="shared" si="9"/>
        <v>24.396000000000001</v>
      </c>
      <c r="X120" s="150">
        <f t="shared" si="10"/>
        <v>73.188000000000002</v>
      </c>
    </row>
    <row r="121" spans="4:24" ht="66.599999999999994" customHeight="1" thickBot="1" x14ac:dyDescent="0.3">
      <c r="D121" s="503"/>
      <c r="E121" s="504"/>
      <c r="F121" s="504"/>
      <c r="G121" s="505"/>
      <c r="H121" s="503"/>
      <c r="I121" s="504"/>
      <c r="J121" s="504"/>
      <c r="K121" s="505"/>
      <c r="M121" s="207">
        <v>34</v>
      </c>
      <c r="N121" s="152"/>
      <c r="O121" s="158">
        <v>43726</v>
      </c>
      <c r="P121" s="148" t="s">
        <v>210</v>
      </c>
      <c r="Q121" s="148" t="s">
        <v>244</v>
      </c>
      <c r="R121" s="152" t="s">
        <v>270</v>
      </c>
      <c r="S121" s="152">
        <v>0.56000000000000005</v>
      </c>
      <c r="T121" s="177">
        <f t="shared" ref="T121:T122" si="15">129*2</f>
        <v>258</v>
      </c>
      <c r="U121" s="148">
        <v>2</v>
      </c>
      <c r="V121" s="152">
        <f t="shared" si="8"/>
        <v>288.96000000000004</v>
      </c>
      <c r="W121" s="148">
        <f t="shared" si="9"/>
        <v>144.48000000000002</v>
      </c>
      <c r="X121" s="150">
        <f t="shared" si="10"/>
        <v>144.48000000000002</v>
      </c>
    </row>
    <row r="122" spans="4:24" ht="16.5" thickBot="1" x14ac:dyDescent="0.3">
      <c r="D122" s="506" t="s">
        <v>213</v>
      </c>
      <c r="E122" s="507"/>
      <c r="F122" s="507"/>
      <c r="G122" s="508"/>
      <c r="H122" s="506" t="s">
        <v>125</v>
      </c>
      <c r="I122" s="507"/>
      <c r="J122" s="507"/>
      <c r="K122" s="508"/>
      <c r="M122" s="207">
        <v>35</v>
      </c>
      <c r="N122" s="175"/>
      <c r="O122" s="158">
        <v>43741</v>
      </c>
      <c r="P122" s="148" t="s">
        <v>210</v>
      </c>
      <c r="Q122" s="148" t="s">
        <v>244</v>
      </c>
      <c r="R122" s="148" t="s">
        <v>254</v>
      </c>
      <c r="S122" s="148">
        <v>0.36</v>
      </c>
      <c r="T122" s="177">
        <f t="shared" si="15"/>
        <v>258</v>
      </c>
      <c r="U122" s="148">
        <v>3</v>
      </c>
      <c r="V122" s="152">
        <f t="shared" si="8"/>
        <v>278.64</v>
      </c>
      <c r="W122" s="148">
        <f t="shared" si="9"/>
        <v>92.88</v>
      </c>
      <c r="X122" s="150">
        <f t="shared" si="10"/>
        <v>185.76</v>
      </c>
    </row>
    <row r="123" spans="4:24" ht="16.5" thickBot="1" x14ac:dyDescent="0.3">
      <c r="D123" s="497" t="s">
        <v>214</v>
      </c>
      <c r="E123" s="498"/>
      <c r="F123" s="498"/>
      <c r="G123" s="499"/>
      <c r="H123" s="565" t="s">
        <v>215</v>
      </c>
      <c r="I123" s="566"/>
      <c r="J123" s="566"/>
      <c r="K123" s="567"/>
      <c r="M123" s="207">
        <v>36</v>
      </c>
      <c r="N123" s="152"/>
      <c r="O123" s="158">
        <v>43742</v>
      </c>
      <c r="P123" s="148" t="s">
        <v>210</v>
      </c>
      <c r="Q123" s="148" t="s">
        <v>246</v>
      </c>
      <c r="R123" s="148" t="s">
        <v>260</v>
      </c>
      <c r="S123" s="148">
        <v>0.36</v>
      </c>
      <c r="T123" s="177">
        <f t="shared" ref="T123:T127" si="16">32.1*2</f>
        <v>64.2</v>
      </c>
      <c r="U123" s="148">
        <v>5</v>
      </c>
      <c r="V123" s="152">
        <f t="shared" si="8"/>
        <v>115.56</v>
      </c>
      <c r="W123" s="148">
        <f t="shared" si="9"/>
        <v>23.112000000000002</v>
      </c>
      <c r="X123" s="150">
        <f t="shared" si="10"/>
        <v>92.448000000000008</v>
      </c>
    </row>
    <row r="124" spans="4:24" x14ac:dyDescent="0.25">
      <c r="D124" s="500"/>
      <c r="E124" s="501"/>
      <c r="F124" s="501"/>
      <c r="G124" s="501"/>
      <c r="H124" s="153" t="s">
        <v>217</v>
      </c>
      <c r="I124" s="151" t="s">
        <v>218</v>
      </c>
      <c r="J124" s="153" t="s">
        <v>219</v>
      </c>
      <c r="K124" s="151" t="s">
        <v>218</v>
      </c>
      <c r="M124" s="207">
        <v>37</v>
      </c>
      <c r="N124" s="152"/>
      <c r="O124" s="158">
        <v>43746</v>
      </c>
      <c r="P124" s="148" t="s">
        <v>210</v>
      </c>
      <c r="Q124" s="148" t="s">
        <v>246</v>
      </c>
      <c r="R124" s="152" t="s">
        <v>261</v>
      </c>
      <c r="S124" s="148">
        <v>0.38</v>
      </c>
      <c r="T124" s="177">
        <f t="shared" si="16"/>
        <v>64.2</v>
      </c>
      <c r="U124" s="148">
        <v>2</v>
      </c>
      <c r="V124" s="152">
        <f>S125*T125*U125</f>
        <v>42.372000000000007</v>
      </c>
      <c r="W124" s="148">
        <f>S125*T125</f>
        <v>21.186000000000003</v>
      </c>
      <c r="X124" s="150">
        <f t="shared" si="10"/>
        <v>21.186000000000003</v>
      </c>
    </row>
    <row r="125" spans="4:24" ht="43.5" customHeight="1" thickBot="1" x14ac:dyDescent="0.3">
      <c r="D125" s="500"/>
      <c r="E125" s="501"/>
      <c r="F125" s="501"/>
      <c r="G125" s="501"/>
      <c r="H125" s="155">
        <f>M179</f>
        <v>18</v>
      </c>
      <c r="I125" s="156" t="s">
        <v>220</v>
      </c>
      <c r="J125" s="155">
        <f>X181</f>
        <v>1559.5479999999998</v>
      </c>
      <c r="K125" s="157" t="s">
        <v>221</v>
      </c>
      <c r="M125" s="207">
        <v>38</v>
      </c>
      <c r="N125" s="152"/>
      <c r="O125" s="147">
        <v>43781</v>
      </c>
      <c r="P125" s="148" t="s">
        <v>210</v>
      </c>
      <c r="Q125" s="148" t="s">
        <v>246</v>
      </c>
      <c r="R125" s="148" t="s">
        <v>250</v>
      </c>
      <c r="S125" s="148">
        <v>0.33</v>
      </c>
      <c r="T125" s="177">
        <f t="shared" si="16"/>
        <v>64.2</v>
      </c>
      <c r="U125" s="148">
        <v>2</v>
      </c>
      <c r="V125" s="152">
        <f>S126*T126*U126</f>
        <v>73.188000000000002</v>
      </c>
      <c r="W125" s="148">
        <f>S126*T126</f>
        <v>24.396000000000001</v>
      </c>
      <c r="X125" s="150">
        <f t="shared" si="10"/>
        <v>48.792000000000002</v>
      </c>
    </row>
    <row r="126" spans="4:24" ht="19.5" thickBot="1" x14ac:dyDescent="0.3">
      <c r="D126" s="500"/>
      <c r="E126" s="501"/>
      <c r="F126" s="501"/>
      <c r="G126" s="502"/>
      <c r="H126" s="565" t="s">
        <v>223</v>
      </c>
      <c r="I126" s="566"/>
      <c r="J126" s="566"/>
      <c r="K126" s="567"/>
      <c r="M126" s="207">
        <v>39</v>
      </c>
      <c r="N126" s="152"/>
      <c r="O126" s="147">
        <v>43784</v>
      </c>
      <c r="P126" s="148" t="s">
        <v>210</v>
      </c>
      <c r="Q126" s="148" t="s">
        <v>246</v>
      </c>
      <c r="R126" s="148" t="s">
        <v>261</v>
      </c>
      <c r="S126" s="148">
        <v>0.38</v>
      </c>
      <c r="T126" s="177">
        <f t="shared" si="16"/>
        <v>64.2</v>
      </c>
      <c r="U126" s="148">
        <v>3</v>
      </c>
      <c r="V126" s="152">
        <f t="shared" si="8"/>
        <v>73.188000000000002</v>
      </c>
      <c r="W126" s="148">
        <f t="shared" si="9"/>
        <v>24.396000000000001</v>
      </c>
      <c r="X126" s="150">
        <f t="shared" si="10"/>
        <v>48.792000000000002</v>
      </c>
    </row>
    <row r="127" spans="4:24" x14ac:dyDescent="0.25">
      <c r="D127" s="500"/>
      <c r="E127" s="501"/>
      <c r="F127" s="501"/>
      <c r="G127" s="502"/>
      <c r="H127" s="552">
        <f>J125/1000</f>
        <v>1.5595479999999997</v>
      </c>
      <c r="I127" s="553"/>
      <c r="J127" s="553"/>
      <c r="K127" s="554"/>
      <c r="M127" s="207">
        <v>40</v>
      </c>
      <c r="N127" s="152"/>
      <c r="O127" s="147">
        <v>43788</v>
      </c>
      <c r="P127" s="148" t="s">
        <v>210</v>
      </c>
      <c r="Q127" s="148" t="s">
        <v>246</v>
      </c>
      <c r="R127" s="148" t="s">
        <v>271</v>
      </c>
      <c r="S127" s="148">
        <v>0.19</v>
      </c>
      <c r="T127" s="177">
        <f t="shared" si="16"/>
        <v>64.2</v>
      </c>
      <c r="U127" s="148">
        <v>2</v>
      </c>
      <c r="V127" s="152">
        <f t="shared" si="8"/>
        <v>24.396000000000001</v>
      </c>
      <c r="W127" s="148">
        <f t="shared" si="9"/>
        <v>12.198</v>
      </c>
      <c r="X127" s="150">
        <f t="shared" si="10"/>
        <v>12.198</v>
      </c>
    </row>
    <row r="128" spans="4:24" ht="16.5" thickBot="1" x14ac:dyDescent="0.3">
      <c r="D128" s="500"/>
      <c r="E128" s="501"/>
      <c r="F128" s="501"/>
      <c r="G128" s="502"/>
      <c r="H128" s="555"/>
      <c r="I128" s="556"/>
      <c r="J128" s="556"/>
      <c r="K128" s="557"/>
      <c r="M128" s="209">
        <v>41</v>
      </c>
      <c r="N128" s="183"/>
      <c r="O128" s="181">
        <v>43802</v>
      </c>
      <c r="P128" s="178" t="s">
        <v>210</v>
      </c>
      <c r="Q128" s="178" t="s">
        <v>255</v>
      </c>
      <c r="R128" s="178" t="s">
        <v>261</v>
      </c>
      <c r="S128" s="148">
        <v>0.38</v>
      </c>
      <c r="T128" s="177">
        <f>148*2</f>
        <v>296</v>
      </c>
      <c r="U128" s="178">
        <v>3</v>
      </c>
      <c r="V128" s="152">
        <f t="shared" si="8"/>
        <v>337.44</v>
      </c>
      <c r="W128" s="148">
        <f t="shared" si="9"/>
        <v>112.48</v>
      </c>
      <c r="X128" s="150">
        <f t="shared" si="10"/>
        <v>224.95999999999998</v>
      </c>
    </row>
    <row r="129" spans="4:24" ht="16.5" thickBot="1" x14ac:dyDescent="0.3">
      <c r="D129" s="500"/>
      <c r="E129" s="501"/>
      <c r="F129" s="501"/>
      <c r="G129" s="502"/>
      <c r="H129" s="558" t="s">
        <v>224</v>
      </c>
      <c r="I129" s="559"/>
      <c r="J129" s="559"/>
      <c r="K129" s="560"/>
      <c r="M129" s="209">
        <v>42</v>
      </c>
      <c r="N129" s="183"/>
      <c r="O129" s="181">
        <v>43802</v>
      </c>
      <c r="P129" s="183" t="s">
        <v>210</v>
      </c>
      <c r="Q129" s="148" t="s">
        <v>246</v>
      </c>
      <c r="R129" s="183" t="s">
        <v>271</v>
      </c>
      <c r="S129" s="183">
        <v>0.19</v>
      </c>
      <c r="T129" s="177">
        <f>32.1*2</f>
        <v>64.2</v>
      </c>
      <c r="U129" s="178">
        <v>2</v>
      </c>
      <c r="V129" s="152">
        <f t="shared" si="8"/>
        <v>24.396000000000001</v>
      </c>
      <c r="W129" s="148">
        <f t="shared" si="9"/>
        <v>12.198</v>
      </c>
      <c r="X129" s="150">
        <f t="shared" si="10"/>
        <v>12.198</v>
      </c>
    </row>
    <row r="130" spans="4:24" x14ac:dyDescent="0.25">
      <c r="D130" s="500"/>
      <c r="E130" s="501"/>
      <c r="F130" s="501"/>
      <c r="G130" s="501"/>
      <c r="H130" s="561" t="s">
        <v>252</v>
      </c>
      <c r="I130" s="562"/>
      <c r="J130" s="563" t="s">
        <v>132</v>
      </c>
      <c r="K130" s="564"/>
      <c r="M130" s="207">
        <v>43</v>
      </c>
      <c r="N130" s="152"/>
      <c r="O130" s="181">
        <v>43804</v>
      </c>
      <c r="P130" s="152" t="s">
        <v>210</v>
      </c>
      <c r="Q130" s="148" t="s">
        <v>255</v>
      </c>
      <c r="R130" s="152" t="s">
        <v>261</v>
      </c>
      <c r="S130" s="148">
        <v>0.38</v>
      </c>
      <c r="T130" s="177">
        <f>148*2</f>
        <v>296</v>
      </c>
      <c r="U130" s="148">
        <v>2</v>
      </c>
      <c r="V130" s="152">
        <f t="shared" si="8"/>
        <v>224.96</v>
      </c>
      <c r="W130" s="148">
        <f t="shared" si="9"/>
        <v>112.48</v>
      </c>
      <c r="X130" s="150">
        <f t="shared" si="10"/>
        <v>112.48</v>
      </c>
    </row>
    <row r="131" spans="4:24" ht="16.5" thickBot="1" x14ac:dyDescent="0.3">
      <c r="D131" s="500"/>
      <c r="E131" s="501"/>
      <c r="F131" s="501"/>
      <c r="G131" s="501"/>
      <c r="H131" s="154" t="s">
        <v>227</v>
      </c>
      <c r="I131" s="160" t="s">
        <v>218</v>
      </c>
      <c r="J131" s="544" t="e">
        <f>(H127/H132)*100</f>
        <v>#DIV/0!</v>
      </c>
      <c r="K131" s="545"/>
      <c r="M131" s="210">
        <v>44</v>
      </c>
      <c r="N131" s="190"/>
      <c r="O131" s="189">
        <v>43810</v>
      </c>
      <c r="P131" s="190" t="s">
        <v>210</v>
      </c>
      <c r="Q131" s="204" t="s">
        <v>246</v>
      </c>
      <c r="R131" s="190" t="s">
        <v>256</v>
      </c>
      <c r="S131" s="190">
        <v>0.45</v>
      </c>
      <c r="T131" s="177">
        <f>32.1*2</f>
        <v>64.2</v>
      </c>
      <c r="U131" s="204">
        <v>2</v>
      </c>
      <c r="V131" s="190">
        <f t="shared" si="8"/>
        <v>57.78</v>
      </c>
      <c r="W131" s="204">
        <f t="shared" si="9"/>
        <v>28.89</v>
      </c>
      <c r="X131" s="192">
        <f t="shared" si="10"/>
        <v>28.89</v>
      </c>
    </row>
    <row r="132" spans="4:24" ht="19.5" thickBot="1" x14ac:dyDescent="0.3">
      <c r="D132" s="503"/>
      <c r="E132" s="504"/>
      <c r="F132" s="504"/>
      <c r="G132" s="504"/>
      <c r="H132" s="159"/>
      <c r="I132" s="162" t="s">
        <v>228</v>
      </c>
      <c r="J132" s="546"/>
      <c r="K132" s="547"/>
      <c r="M132" s="518" t="s">
        <v>2</v>
      </c>
      <c r="N132" s="519"/>
      <c r="O132" s="519"/>
      <c r="P132" s="519"/>
      <c r="Q132" s="519"/>
      <c r="R132" s="519"/>
      <c r="S132" s="520"/>
      <c r="T132" s="193">
        <f>SUM(T88:T131)</f>
        <v>6171.199999999998</v>
      </c>
      <c r="U132" s="211"/>
      <c r="V132" s="211"/>
      <c r="W132" s="212"/>
      <c r="X132" s="193">
        <f>SUM(X88:X131)</f>
        <v>5609.2740000000031</v>
      </c>
    </row>
    <row r="133" spans="4:24" ht="16.5" thickBot="1" x14ac:dyDescent="0.3">
      <c r="D133" s="506" t="s">
        <v>189</v>
      </c>
      <c r="E133" s="507"/>
      <c r="F133" s="507"/>
      <c r="G133" s="507"/>
      <c r="H133" s="539"/>
      <c r="I133" s="539"/>
      <c r="J133" s="539"/>
      <c r="K133" s="540"/>
      <c r="V133" s="139"/>
      <c r="W133" s="141"/>
    </row>
    <row r="134" spans="4:24" ht="16.5" thickBot="1" x14ac:dyDescent="0.3">
      <c r="D134" s="541" t="s">
        <v>230</v>
      </c>
      <c r="E134" s="542"/>
      <c r="F134" s="543"/>
      <c r="G134" s="548" t="s">
        <v>231</v>
      </c>
      <c r="H134" s="548"/>
      <c r="I134" s="549" t="s">
        <v>232</v>
      </c>
      <c r="J134" s="550"/>
      <c r="K134" s="551"/>
      <c r="M134" s="213" t="s">
        <v>272</v>
      </c>
      <c r="N134" s="213"/>
      <c r="O134" s="213"/>
      <c r="P134" s="213"/>
      <c r="Q134" s="213"/>
      <c r="R134" s="213"/>
      <c r="V134" s="139"/>
      <c r="W134" s="141"/>
    </row>
    <row r="135" spans="4:24" x14ac:dyDescent="0.25">
      <c r="D135" s="163" t="s">
        <v>192</v>
      </c>
      <c r="E135" s="144" t="s">
        <v>193</v>
      </c>
      <c r="F135" s="167" t="s">
        <v>2</v>
      </c>
      <c r="G135" s="587">
        <f>H127</f>
        <v>1.5595479999999997</v>
      </c>
      <c r="H135" s="575"/>
      <c r="I135" s="168" t="s">
        <v>192</v>
      </c>
      <c r="J135" s="144" t="s">
        <v>193</v>
      </c>
      <c r="K135" s="145" t="s">
        <v>2</v>
      </c>
      <c r="M135" s="139" t="s">
        <v>273</v>
      </c>
      <c r="V135" s="139"/>
      <c r="W135" s="141"/>
    </row>
    <row r="136" spans="4:24" ht="16.5" thickBot="1" x14ac:dyDescent="0.3">
      <c r="D136" s="164">
        <v>6562</v>
      </c>
      <c r="E136" s="165">
        <v>1160</v>
      </c>
      <c r="F136" s="166">
        <f>D136+E136</f>
        <v>7722</v>
      </c>
      <c r="G136" s="576"/>
      <c r="H136" s="577"/>
      <c r="I136" s="307">
        <f>G135/D136</f>
        <v>2.376635172203596E-4</v>
      </c>
      <c r="J136" s="308">
        <f>G135/E136</f>
        <v>1.3444379310344826E-3</v>
      </c>
      <c r="K136" s="306">
        <f>G135/F136</f>
        <v>2.0196166796166792E-4</v>
      </c>
    </row>
    <row r="137" spans="4:24" ht="16.5" thickBot="1" x14ac:dyDescent="0.3">
      <c r="D137" s="506" t="s">
        <v>234</v>
      </c>
      <c r="E137" s="507"/>
      <c r="F137" s="507"/>
      <c r="G137" s="507"/>
      <c r="H137" s="539"/>
      <c r="I137" s="539"/>
      <c r="J137" s="539"/>
      <c r="K137" s="540"/>
      <c r="M137" s="509" t="s">
        <v>274</v>
      </c>
      <c r="N137" s="510"/>
      <c r="O137" s="510"/>
      <c r="P137" s="510"/>
      <c r="Q137" s="510"/>
      <c r="R137" s="510"/>
      <c r="S137" s="510"/>
      <c r="T137" s="510"/>
      <c r="U137" s="510"/>
      <c r="V137" s="510"/>
      <c r="W137" s="510"/>
      <c r="X137" s="511"/>
    </row>
    <row r="138" spans="4:24" x14ac:dyDescent="0.25">
      <c r="D138" s="497"/>
      <c r="E138" s="498"/>
      <c r="F138" s="498"/>
      <c r="G138" s="498"/>
      <c r="H138" s="498"/>
      <c r="I138" s="498"/>
      <c r="J138" s="498"/>
      <c r="K138" s="499"/>
      <c r="M138" s="512"/>
      <c r="N138" s="513"/>
      <c r="O138" s="513"/>
      <c r="P138" s="513"/>
      <c r="Q138" s="513"/>
      <c r="R138" s="513"/>
      <c r="S138" s="513"/>
      <c r="T138" s="513"/>
      <c r="U138" s="513"/>
      <c r="V138" s="513"/>
      <c r="W138" s="513"/>
      <c r="X138" s="514"/>
    </row>
    <row r="139" spans="4:24" ht="16.5" thickBot="1" x14ac:dyDescent="0.3">
      <c r="D139" s="500"/>
      <c r="E139" s="501"/>
      <c r="F139" s="501"/>
      <c r="G139" s="501"/>
      <c r="H139" s="501"/>
      <c r="I139" s="501"/>
      <c r="J139" s="501"/>
      <c r="K139" s="502"/>
      <c r="M139" s="515"/>
      <c r="N139" s="516"/>
      <c r="O139" s="516"/>
      <c r="P139" s="516"/>
      <c r="Q139" s="516"/>
      <c r="R139" s="516"/>
      <c r="S139" s="516"/>
      <c r="T139" s="516"/>
      <c r="U139" s="516"/>
      <c r="V139" s="516"/>
      <c r="W139" s="516"/>
      <c r="X139" s="517"/>
    </row>
    <row r="140" spans="4:24" ht="51" thickBot="1" x14ac:dyDescent="0.3">
      <c r="D140" s="500"/>
      <c r="E140" s="501"/>
      <c r="F140" s="501"/>
      <c r="G140" s="501"/>
      <c r="H140" s="501"/>
      <c r="I140" s="501"/>
      <c r="J140" s="501"/>
      <c r="K140" s="502"/>
      <c r="M140" s="214" t="s">
        <v>199</v>
      </c>
      <c r="N140" s="214" t="s">
        <v>243</v>
      </c>
      <c r="O140" s="214" t="s">
        <v>200</v>
      </c>
      <c r="P140" s="214" t="s">
        <v>201</v>
      </c>
      <c r="Q140" s="214" t="s">
        <v>202</v>
      </c>
      <c r="R140" s="214" t="s">
        <v>203</v>
      </c>
      <c r="S140" s="215" t="s">
        <v>204</v>
      </c>
      <c r="T140" s="215" t="s">
        <v>205</v>
      </c>
      <c r="U140" s="215" t="s">
        <v>206</v>
      </c>
      <c r="V140" s="215" t="s">
        <v>207</v>
      </c>
      <c r="W140" s="215" t="s">
        <v>208</v>
      </c>
      <c r="X140" s="215" t="s">
        <v>209</v>
      </c>
    </row>
    <row r="141" spans="4:24" x14ac:dyDescent="0.25">
      <c r="D141" s="500"/>
      <c r="E141" s="501"/>
      <c r="F141" s="501"/>
      <c r="G141" s="501"/>
      <c r="H141" s="501"/>
      <c r="I141" s="501"/>
      <c r="J141" s="501"/>
      <c r="K141" s="502"/>
      <c r="M141" s="171">
        <v>1</v>
      </c>
      <c r="N141" s="172"/>
      <c r="O141" s="216">
        <v>43887</v>
      </c>
      <c r="P141" s="172" t="s">
        <v>210</v>
      </c>
      <c r="Q141" s="172" t="s">
        <v>244</v>
      </c>
      <c r="R141" s="172" t="s">
        <v>256</v>
      </c>
      <c r="S141" s="172">
        <v>0.45</v>
      </c>
      <c r="T141" s="172">
        <f>129*2</f>
        <v>258</v>
      </c>
      <c r="U141" s="217">
        <v>2</v>
      </c>
      <c r="V141" s="143">
        <f t="shared" ref="V141:V147" si="17">S141*T141*U141</f>
        <v>232.20000000000002</v>
      </c>
      <c r="W141" s="172">
        <f t="shared" ref="W141:W147" si="18">S141*T141</f>
        <v>116.10000000000001</v>
      </c>
      <c r="X141" s="218">
        <f t="shared" ref="X141:X147" si="19">V141-W141</f>
        <v>116.10000000000001</v>
      </c>
    </row>
    <row r="142" spans="4:24" x14ac:dyDescent="0.25">
      <c r="D142" s="500"/>
      <c r="E142" s="501"/>
      <c r="F142" s="501"/>
      <c r="G142" s="501"/>
      <c r="H142" s="501"/>
      <c r="I142" s="501"/>
      <c r="J142" s="501"/>
      <c r="K142" s="502"/>
      <c r="M142" s="174">
        <v>2</v>
      </c>
      <c r="N142" s="175"/>
      <c r="O142" s="219">
        <v>43892</v>
      </c>
      <c r="P142" s="175" t="s">
        <v>210</v>
      </c>
      <c r="Q142" s="175" t="s">
        <v>211</v>
      </c>
      <c r="R142" s="175" t="s">
        <v>256</v>
      </c>
      <c r="S142" s="175">
        <v>0.45</v>
      </c>
      <c r="T142" s="175">
        <f>32.1*2</f>
        <v>64.2</v>
      </c>
      <c r="U142" s="180">
        <v>2</v>
      </c>
      <c r="V142" s="148">
        <f t="shared" si="17"/>
        <v>57.78</v>
      </c>
      <c r="W142" s="175">
        <f t="shared" si="18"/>
        <v>28.89</v>
      </c>
      <c r="X142" s="220">
        <f t="shared" si="19"/>
        <v>28.89</v>
      </c>
    </row>
    <row r="143" spans="4:24" ht="16.5" thickBot="1" x14ac:dyDescent="0.3">
      <c r="D143" s="503"/>
      <c r="E143" s="504"/>
      <c r="F143" s="504"/>
      <c r="G143" s="504"/>
      <c r="H143" s="504"/>
      <c r="I143" s="504"/>
      <c r="J143" s="504"/>
      <c r="K143" s="505"/>
      <c r="M143" s="174">
        <v>3</v>
      </c>
      <c r="N143" s="175"/>
      <c r="O143" s="219">
        <v>43893</v>
      </c>
      <c r="P143" s="175" t="s">
        <v>210</v>
      </c>
      <c r="Q143" s="175" t="s">
        <v>211</v>
      </c>
      <c r="R143" s="175" t="s">
        <v>256</v>
      </c>
      <c r="S143" s="175">
        <v>0.45</v>
      </c>
      <c r="T143" s="175">
        <f>32.1*2</f>
        <v>64.2</v>
      </c>
      <c r="U143" s="180">
        <v>2</v>
      </c>
      <c r="V143" s="148">
        <f t="shared" si="17"/>
        <v>57.78</v>
      </c>
      <c r="W143" s="175">
        <f t="shared" si="18"/>
        <v>28.89</v>
      </c>
      <c r="X143" s="220">
        <f t="shared" si="19"/>
        <v>28.89</v>
      </c>
    </row>
    <row r="144" spans="4:24" ht="16.5" thickBot="1" x14ac:dyDescent="0.3">
      <c r="D144" s="506" t="s">
        <v>236</v>
      </c>
      <c r="E144" s="507"/>
      <c r="F144" s="507"/>
      <c r="G144" s="507"/>
      <c r="H144" s="539"/>
      <c r="I144" s="539"/>
      <c r="J144" s="539"/>
      <c r="K144" s="540"/>
      <c r="M144" s="174">
        <v>4</v>
      </c>
      <c r="N144" s="175"/>
      <c r="O144" s="219">
        <v>43894</v>
      </c>
      <c r="P144" s="175" t="s">
        <v>210</v>
      </c>
      <c r="Q144" s="175" t="s">
        <v>211</v>
      </c>
      <c r="R144" s="175" t="s">
        <v>248</v>
      </c>
      <c r="S144" s="175">
        <v>0.37</v>
      </c>
      <c r="T144" s="175">
        <f>32.1*2</f>
        <v>64.2</v>
      </c>
      <c r="U144" s="180">
        <v>2</v>
      </c>
      <c r="V144" s="148">
        <f t="shared" si="17"/>
        <v>47.508000000000003</v>
      </c>
      <c r="W144" s="175">
        <f t="shared" si="18"/>
        <v>23.754000000000001</v>
      </c>
      <c r="X144" s="220">
        <f t="shared" si="19"/>
        <v>23.754000000000001</v>
      </c>
    </row>
    <row r="145" spans="4:24" x14ac:dyDescent="0.25">
      <c r="D145" s="581" t="s">
        <v>275</v>
      </c>
      <c r="E145" s="582"/>
      <c r="F145" s="582"/>
      <c r="G145" s="582"/>
      <c r="H145" s="582"/>
      <c r="I145" s="582"/>
      <c r="J145" s="582"/>
      <c r="K145" s="583"/>
      <c r="M145" s="174">
        <v>5</v>
      </c>
      <c r="N145" s="175"/>
      <c r="O145" s="219">
        <v>43895</v>
      </c>
      <c r="P145" s="175" t="s">
        <v>210</v>
      </c>
      <c r="Q145" s="175" t="s">
        <v>211</v>
      </c>
      <c r="R145" s="175" t="s">
        <v>261</v>
      </c>
      <c r="S145" s="175">
        <v>0.38</v>
      </c>
      <c r="T145" s="175">
        <f>32.1*2</f>
        <v>64.2</v>
      </c>
      <c r="U145" s="180">
        <v>2</v>
      </c>
      <c r="V145" s="148">
        <f t="shared" si="17"/>
        <v>48.792000000000002</v>
      </c>
      <c r="W145" s="175">
        <f t="shared" si="18"/>
        <v>24.396000000000001</v>
      </c>
      <c r="X145" s="220">
        <f t="shared" si="19"/>
        <v>24.396000000000001</v>
      </c>
    </row>
    <row r="146" spans="4:24" ht="16.5" thickBot="1" x14ac:dyDescent="0.3">
      <c r="D146" s="584"/>
      <c r="E146" s="585"/>
      <c r="F146" s="585"/>
      <c r="G146" s="585"/>
      <c r="H146" s="585"/>
      <c r="I146" s="585"/>
      <c r="J146" s="585"/>
      <c r="K146" s="586"/>
      <c r="M146" s="174">
        <v>6</v>
      </c>
      <c r="N146" s="175"/>
      <c r="O146" s="219">
        <v>43896</v>
      </c>
      <c r="P146" s="175" t="s">
        <v>210</v>
      </c>
      <c r="Q146" s="175" t="s">
        <v>244</v>
      </c>
      <c r="R146" s="175" t="s">
        <v>267</v>
      </c>
      <c r="S146" s="175">
        <v>0.36</v>
      </c>
      <c r="T146" s="175">
        <f>129*2</f>
        <v>258</v>
      </c>
      <c r="U146" s="180">
        <v>2</v>
      </c>
      <c r="V146" s="148">
        <f t="shared" si="17"/>
        <v>185.76</v>
      </c>
      <c r="W146" s="175">
        <f t="shared" si="18"/>
        <v>92.88</v>
      </c>
      <c r="X146" s="220">
        <f t="shared" si="19"/>
        <v>92.88</v>
      </c>
    </row>
    <row r="147" spans="4:24" x14ac:dyDescent="0.25">
      <c r="M147" s="174">
        <v>7</v>
      </c>
      <c r="N147" s="175"/>
      <c r="O147" s="219">
        <v>43900</v>
      </c>
      <c r="P147" s="175" t="s">
        <v>210</v>
      </c>
      <c r="Q147" s="175" t="s">
        <v>211</v>
      </c>
      <c r="R147" s="175" t="s">
        <v>248</v>
      </c>
      <c r="S147" s="175">
        <v>0.37</v>
      </c>
      <c r="T147" s="175">
        <f>32.1*2</f>
        <v>64.2</v>
      </c>
      <c r="U147" s="180">
        <v>2</v>
      </c>
      <c r="V147" s="148">
        <f t="shared" si="17"/>
        <v>47.508000000000003</v>
      </c>
      <c r="W147" s="175">
        <f t="shared" si="18"/>
        <v>23.754000000000001</v>
      </c>
      <c r="X147" s="220">
        <f t="shared" si="19"/>
        <v>23.754000000000001</v>
      </c>
    </row>
    <row r="148" spans="4:24" ht="16.5" thickBot="1" x14ac:dyDescent="0.3">
      <c r="M148" s="185">
        <v>8</v>
      </c>
      <c r="N148" s="186"/>
      <c r="O148" s="221">
        <v>43901</v>
      </c>
      <c r="P148" s="186" t="s">
        <v>210</v>
      </c>
      <c r="Q148" s="186" t="s">
        <v>255</v>
      </c>
      <c r="R148" s="186" t="s">
        <v>264</v>
      </c>
      <c r="S148" s="186">
        <v>0.39</v>
      </c>
      <c r="T148" s="186">
        <f>148*2</f>
        <v>296</v>
      </c>
      <c r="U148" s="222">
        <v>2</v>
      </c>
      <c r="V148" s="184">
        <f>S148*T148*U148</f>
        <v>230.88</v>
      </c>
      <c r="W148" s="186">
        <f>S148*T148</f>
        <v>115.44</v>
      </c>
      <c r="X148" s="223">
        <f>V148-W148</f>
        <v>115.44</v>
      </c>
    </row>
    <row r="149" spans="4:24" ht="16.5" thickBot="1" x14ac:dyDescent="0.3">
      <c r="M149" s="518" t="s">
        <v>2</v>
      </c>
      <c r="N149" s="519"/>
      <c r="O149" s="519"/>
      <c r="P149" s="519"/>
      <c r="Q149" s="519"/>
      <c r="R149" s="519"/>
      <c r="S149" s="520"/>
      <c r="T149" s="224">
        <f>SUM(T141:T148)</f>
        <v>1133</v>
      </c>
      <c r="U149" s="211"/>
      <c r="V149" s="211"/>
      <c r="W149" s="212"/>
      <c r="X149" s="212">
        <f>SUM(X141:X148)</f>
        <v>454.10399999999998</v>
      </c>
    </row>
    <row r="151" spans="4:24" ht="16.5" thickBot="1" x14ac:dyDescent="0.3"/>
    <row r="152" spans="4:24" x14ac:dyDescent="0.25">
      <c r="M152" s="509" t="s">
        <v>276</v>
      </c>
      <c r="N152" s="510"/>
      <c r="O152" s="510"/>
      <c r="P152" s="510"/>
      <c r="Q152" s="510"/>
      <c r="R152" s="510"/>
      <c r="S152" s="510"/>
      <c r="T152" s="510"/>
      <c r="U152" s="510"/>
      <c r="V152" s="510"/>
      <c r="W152" s="510"/>
      <c r="X152" s="511"/>
    </row>
    <row r="153" spans="4:24" x14ac:dyDescent="0.25">
      <c r="M153" s="512"/>
      <c r="N153" s="513"/>
      <c r="O153" s="513"/>
      <c r="P153" s="513"/>
      <c r="Q153" s="513"/>
      <c r="R153" s="513"/>
      <c r="S153" s="513"/>
      <c r="T153" s="513"/>
      <c r="U153" s="513"/>
      <c r="V153" s="513"/>
      <c r="W153" s="513"/>
      <c r="X153" s="514"/>
    </row>
    <row r="154" spans="4:24" x14ac:dyDescent="0.25">
      <c r="M154" s="588"/>
      <c r="N154" s="589"/>
      <c r="O154" s="589"/>
      <c r="P154" s="589"/>
      <c r="Q154" s="589"/>
      <c r="R154" s="589"/>
      <c r="S154" s="589"/>
      <c r="T154" s="589"/>
      <c r="U154" s="589"/>
      <c r="V154" s="589"/>
      <c r="W154" s="589"/>
      <c r="X154" s="590"/>
    </row>
    <row r="155" spans="4:24" x14ac:dyDescent="0.25">
      <c r="M155" s="591" t="s">
        <v>277</v>
      </c>
      <c r="N155" s="591"/>
      <c r="O155" s="591"/>
      <c r="P155" s="591"/>
      <c r="Q155" s="591"/>
      <c r="R155" s="591"/>
      <c r="S155" s="591"/>
      <c r="T155" s="591"/>
      <c r="U155" s="591"/>
      <c r="V155" s="591"/>
      <c r="W155" s="591"/>
      <c r="X155" s="591"/>
    </row>
    <row r="157" spans="4:24" ht="16.5" thickBot="1" x14ac:dyDescent="0.3"/>
    <row r="158" spans="4:24" x14ac:dyDescent="0.25">
      <c r="M158" s="509" t="s">
        <v>195</v>
      </c>
      <c r="N158" s="510"/>
      <c r="O158" s="510"/>
      <c r="P158" s="510"/>
      <c r="Q158" s="510"/>
      <c r="R158" s="510"/>
      <c r="S158" s="510"/>
      <c r="T158" s="510"/>
      <c r="U158" s="510"/>
      <c r="V158" s="510"/>
      <c r="W158" s="510"/>
      <c r="X158" s="511"/>
    </row>
    <row r="159" spans="4:24" x14ac:dyDescent="0.25">
      <c r="M159" s="512"/>
      <c r="N159" s="513"/>
      <c r="O159" s="513"/>
      <c r="P159" s="513"/>
      <c r="Q159" s="513"/>
      <c r="R159" s="513"/>
      <c r="S159" s="513"/>
      <c r="T159" s="513"/>
      <c r="U159" s="513"/>
      <c r="V159" s="513"/>
      <c r="W159" s="513"/>
      <c r="X159" s="514"/>
    </row>
    <row r="160" spans="4:24" x14ac:dyDescent="0.25">
      <c r="M160" s="588"/>
      <c r="N160" s="589"/>
      <c r="O160" s="589"/>
      <c r="P160" s="589"/>
      <c r="Q160" s="589"/>
      <c r="R160" s="589"/>
      <c r="S160" s="589"/>
      <c r="T160" s="589"/>
      <c r="U160" s="589"/>
      <c r="V160" s="589"/>
      <c r="W160" s="589"/>
      <c r="X160" s="590"/>
    </row>
    <row r="161" spans="13:24" ht="49.9" customHeight="1" thickBot="1" x14ac:dyDescent="0.3">
      <c r="M161" s="267" t="s">
        <v>199</v>
      </c>
      <c r="N161" s="214" t="s">
        <v>243</v>
      </c>
      <c r="O161" s="214" t="s">
        <v>200</v>
      </c>
      <c r="P161" s="214" t="s">
        <v>201</v>
      </c>
      <c r="Q161" s="214" t="s">
        <v>202</v>
      </c>
      <c r="R161" s="214" t="s">
        <v>203</v>
      </c>
      <c r="S161" s="215" t="s">
        <v>204</v>
      </c>
      <c r="T161" s="215" t="s">
        <v>205</v>
      </c>
      <c r="U161" s="215" t="s">
        <v>278</v>
      </c>
      <c r="V161" s="215" t="s">
        <v>207</v>
      </c>
      <c r="W161" s="215" t="s">
        <v>208</v>
      </c>
      <c r="X161" s="266" t="s">
        <v>209</v>
      </c>
    </row>
    <row r="162" spans="13:24" x14ac:dyDescent="0.25">
      <c r="M162" s="272">
        <v>1</v>
      </c>
      <c r="N162" s="172"/>
      <c r="O162" s="216">
        <v>44616</v>
      </c>
      <c r="P162" s="172" t="s">
        <v>210</v>
      </c>
      <c r="Q162" s="172" t="s">
        <v>211</v>
      </c>
      <c r="R162" s="268" t="s">
        <v>279</v>
      </c>
      <c r="S162" s="172">
        <v>0.26</v>
      </c>
      <c r="T162" s="172">
        <v>65.599999999999994</v>
      </c>
      <c r="U162" s="271">
        <v>4</v>
      </c>
      <c r="V162" s="143">
        <f>S162*T162*U162</f>
        <v>68.22399999999999</v>
      </c>
      <c r="W162" s="172">
        <f>S162*T162</f>
        <v>17.055999999999997</v>
      </c>
      <c r="X162" s="274">
        <f>V162-W162</f>
        <v>51.167999999999992</v>
      </c>
    </row>
    <row r="163" spans="13:24" x14ac:dyDescent="0.25">
      <c r="M163" s="273">
        <v>2</v>
      </c>
      <c r="N163" s="219"/>
      <c r="O163" s="219">
        <v>44687</v>
      </c>
      <c r="P163" s="175" t="s">
        <v>210</v>
      </c>
      <c r="Q163" s="175" t="s">
        <v>280</v>
      </c>
      <c r="R163" s="187" t="s">
        <v>281</v>
      </c>
      <c r="S163" s="175">
        <v>0.19</v>
      </c>
      <c r="T163" s="175">
        <v>294</v>
      </c>
      <c r="U163" s="148">
        <v>2</v>
      </c>
      <c r="V163" s="148">
        <f t="shared" ref="V163:V168" si="20">S163*T163*U163</f>
        <v>111.72</v>
      </c>
      <c r="W163" s="175">
        <f t="shared" ref="W163:W168" si="21">S163*T163</f>
        <v>55.86</v>
      </c>
      <c r="X163" s="275">
        <f t="shared" ref="X163:X168" si="22">V163-W163</f>
        <v>55.86</v>
      </c>
    </row>
    <row r="164" spans="13:24" x14ac:dyDescent="0.25">
      <c r="M164" s="273">
        <v>3</v>
      </c>
      <c r="N164" s="175"/>
      <c r="O164" s="219">
        <v>44700</v>
      </c>
      <c r="P164" s="175" t="s">
        <v>210</v>
      </c>
      <c r="Q164" s="175" t="s">
        <v>280</v>
      </c>
      <c r="R164" s="175" t="s">
        <v>267</v>
      </c>
      <c r="S164" s="175">
        <v>0.35</v>
      </c>
      <c r="T164" s="175">
        <v>294</v>
      </c>
      <c r="U164" s="148">
        <v>2</v>
      </c>
      <c r="V164" s="148">
        <f t="shared" si="20"/>
        <v>205.79999999999998</v>
      </c>
      <c r="W164" s="175">
        <f t="shared" si="21"/>
        <v>102.89999999999999</v>
      </c>
      <c r="X164" s="275">
        <f t="shared" si="22"/>
        <v>102.89999999999999</v>
      </c>
    </row>
    <row r="165" spans="13:24" x14ac:dyDescent="0.25">
      <c r="M165" s="273">
        <v>4</v>
      </c>
      <c r="N165" s="175"/>
      <c r="O165" s="219">
        <v>44701</v>
      </c>
      <c r="P165" s="175" t="s">
        <v>210</v>
      </c>
      <c r="Q165" s="175" t="s">
        <v>280</v>
      </c>
      <c r="R165" s="264" t="s">
        <v>261</v>
      </c>
      <c r="S165" s="175">
        <v>0.37</v>
      </c>
      <c r="T165" s="175">
        <v>294</v>
      </c>
      <c r="U165" s="148">
        <v>2</v>
      </c>
      <c r="V165" s="148">
        <f t="shared" si="20"/>
        <v>217.56</v>
      </c>
      <c r="W165" s="175">
        <f t="shared" si="21"/>
        <v>108.78</v>
      </c>
      <c r="X165" s="275">
        <f t="shared" si="22"/>
        <v>108.78</v>
      </c>
    </row>
    <row r="166" spans="13:24" x14ac:dyDescent="0.25">
      <c r="M166" s="273">
        <v>5</v>
      </c>
      <c r="N166" s="175"/>
      <c r="O166" s="219">
        <v>44707</v>
      </c>
      <c r="P166" s="175" t="s">
        <v>210</v>
      </c>
      <c r="Q166" s="175" t="s">
        <v>280</v>
      </c>
      <c r="R166" s="175" t="s">
        <v>261</v>
      </c>
      <c r="S166" s="175">
        <v>0.38</v>
      </c>
      <c r="T166" s="175">
        <v>294</v>
      </c>
      <c r="U166" s="148">
        <v>2</v>
      </c>
      <c r="V166" s="148">
        <f t="shared" si="20"/>
        <v>223.44</v>
      </c>
      <c r="W166" s="175">
        <f t="shared" si="21"/>
        <v>111.72</v>
      </c>
      <c r="X166" s="275">
        <f t="shared" si="22"/>
        <v>111.72</v>
      </c>
    </row>
    <row r="167" spans="13:24" x14ac:dyDescent="0.25">
      <c r="M167" s="273">
        <v>6</v>
      </c>
      <c r="N167" s="175"/>
      <c r="O167" s="219">
        <v>44721</v>
      </c>
      <c r="P167" s="175" t="s">
        <v>210</v>
      </c>
      <c r="Q167" s="175" t="s">
        <v>282</v>
      </c>
      <c r="R167" s="175" t="s">
        <v>267</v>
      </c>
      <c r="S167" s="175">
        <v>0.35</v>
      </c>
      <c r="T167" s="175">
        <v>268</v>
      </c>
      <c r="U167" s="148">
        <v>2</v>
      </c>
      <c r="V167" s="148">
        <f t="shared" si="20"/>
        <v>187.6</v>
      </c>
      <c r="W167" s="175">
        <f t="shared" si="21"/>
        <v>93.8</v>
      </c>
      <c r="X167" s="275">
        <f t="shared" si="22"/>
        <v>93.8</v>
      </c>
    </row>
    <row r="168" spans="13:24" x14ac:dyDescent="0.25">
      <c r="M168" s="273">
        <v>7</v>
      </c>
      <c r="N168" s="175"/>
      <c r="O168" s="219">
        <v>44726</v>
      </c>
      <c r="P168" s="175" t="s">
        <v>210</v>
      </c>
      <c r="Q168" s="175" t="s">
        <v>283</v>
      </c>
      <c r="R168" s="175" t="s">
        <v>253</v>
      </c>
      <c r="S168" s="175">
        <v>0.28000000000000003</v>
      </c>
      <c r="T168" s="175">
        <v>48.4</v>
      </c>
      <c r="U168" s="148">
        <v>2</v>
      </c>
      <c r="V168" s="148">
        <f t="shared" si="20"/>
        <v>27.104000000000003</v>
      </c>
      <c r="W168" s="175">
        <f t="shared" si="21"/>
        <v>13.552000000000001</v>
      </c>
      <c r="X168" s="275">
        <f t="shared" si="22"/>
        <v>13.552000000000001</v>
      </c>
    </row>
    <row r="169" spans="13:24" x14ac:dyDescent="0.25">
      <c r="M169" s="273">
        <v>8</v>
      </c>
      <c r="N169" s="175"/>
      <c r="O169" s="219">
        <v>44729</v>
      </c>
      <c r="P169" s="175" t="s">
        <v>210</v>
      </c>
      <c r="Q169" s="175" t="s">
        <v>282</v>
      </c>
      <c r="R169" s="175" t="s">
        <v>270</v>
      </c>
      <c r="S169" s="175">
        <v>0.48</v>
      </c>
      <c r="T169" s="175">
        <v>268</v>
      </c>
      <c r="U169" s="148">
        <v>2</v>
      </c>
      <c r="V169" s="148">
        <f t="shared" ref="V169" si="23">S169*T169*U169</f>
        <v>257.27999999999997</v>
      </c>
      <c r="W169" s="175">
        <f t="shared" ref="W169" si="24">S169*T169</f>
        <v>128.63999999999999</v>
      </c>
      <c r="X169" s="275">
        <f t="shared" ref="X169" si="25">V169-W169</f>
        <v>128.63999999999999</v>
      </c>
    </row>
    <row r="170" spans="13:24" x14ac:dyDescent="0.25">
      <c r="M170" s="273">
        <v>9</v>
      </c>
      <c r="N170" s="175"/>
      <c r="O170" s="219">
        <v>44768</v>
      </c>
      <c r="P170" s="175" t="s">
        <v>210</v>
      </c>
      <c r="Q170" s="175" t="s">
        <v>280</v>
      </c>
      <c r="R170" s="175" t="s">
        <v>261</v>
      </c>
      <c r="S170" s="175">
        <v>0.38</v>
      </c>
      <c r="T170" s="175">
        <v>294</v>
      </c>
      <c r="U170" s="148">
        <v>2</v>
      </c>
      <c r="V170" s="148">
        <f t="shared" ref="V170:V172" si="26">S170*T170*U170</f>
        <v>223.44</v>
      </c>
      <c r="W170" s="175">
        <f t="shared" ref="W170:W172" si="27">S170*T170</f>
        <v>111.72</v>
      </c>
      <c r="X170" s="275">
        <f t="shared" ref="X170:X172" si="28">V170-W170</f>
        <v>111.72</v>
      </c>
    </row>
    <row r="171" spans="13:24" x14ac:dyDescent="0.25">
      <c r="M171" s="273">
        <v>10</v>
      </c>
      <c r="N171" s="175"/>
      <c r="O171" s="219">
        <v>44777</v>
      </c>
      <c r="P171" s="175" t="s">
        <v>210</v>
      </c>
      <c r="Q171" s="175" t="s">
        <v>282</v>
      </c>
      <c r="R171" s="175" t="s">
        <v>261</v>
      </c>
      <c r="S171" s="175">
        <v>0.37</v>
      </c>
      <c r="T171" s="175">
        <v>268</v>
      </c>
      <c r="U171" s="148">
        <v>2</v>
      </c>
      <c r="V171" s="148">
        <f t="shared" si="26"/>
        <v>198.32</v>
      </c>
      <c r="W171" s="175">
        <f t="shared" si="27"/>
        <v>99.16</v>
      </c>
      <c r="X171" s="275">
        <f t="shared" si="28"/>
        <v>99.16</v>
      </c>
    </row>
    <row r="172" spans="13:24" x14ac:dyDescent="0.25">
      <c r="M172" s="273">
        <v>11</v>
      </c>
      <c r="N172" s="175"/>
      <c r="O172" s="269">
        <v>44798</v>
      </c>
      <c r="P172" s="175" t="s">
        <v>210</v>
      </c>
      <c r="Q172" s="175" t="s">
        <v>282</v>
      </c>
      <c r="R172" s="264" t="s">
        <v>261</v>
      </c>
      <c r="S172" s="175">
        <v>0.37</v>
      </c>
      <c r="T172" s="175">
        <v>268</v>
      </c>
      <c r="U172" s="148">
        <v>2</v>
      </c>
      <c r="V172" s="148">
        <f t="shared" si="26"/>
        <v>198.32</v>
      </c>
      <c r="W172" s="175">
        <f t="shared" si="27"/>
        <v>99.16</v>
      </c>
      <c r="X172" s="275">
        <f t="shared" si="28"/>
        <v>99.16</v>
      </c>
    </row>
    <row r="173" spans="13:24" x14ac:dyDescent="0.25">
      <c r="M173" s="273">
        <v>12</v>
      </c>
      <c r="N173" s="175"/>
      <c r="O173" s="219">
        <v>44812</v>
      </c>
      <c r="P173" s="175" t="s">
        <v>210</v>
      </c>
      <c r="Q173" s="175" t="s">
        <v>282</v>
      </c>
      <c r="R173" s="175" t="s">
        <v>261</v>
      </c>
      <c r="S173" s="175">
        <v>0.37</v>
      </c>
      <c r="T173" s="175">
        <v>268</v>
      </c>
      <c r="U173" s="148">
        <v>2</v>
      </c>
      <c r="V173" s="148">
        <f t="shared" ref="V173:V179" si="29">S173*T173*U173</f>
        <v>198.32</v>
      </c>
      <c r="W173" s="175">
        <f t="shared" ref="W173:W179" si="30">S173*T173</f>
        <v>99.16</v>
      </c>
      <c r="X173" s="275">
        <f t="shared" ref="X173:X179" si="31">V173-W173</f>
        <v>99.16</v>
      </c>
    </row>
    <row r="174" spans="13:24" ht="16.5" thickBot="1" x14ac:dyDescent="0.3">
      <c r="M174" s="273">
        <v>13</v>
      </c>
      <c r="N174" s="175"/>
      <c r="O174" s="219">
        <v>44840</v>
      </c>
      <c r="P174" s="175" t="s">
        <v>210</v>
      </c>
      <c r="Q174" s="175" t="s">
        <v>280</v>
      </c>
      <c r="R174" s="175" t="s">
        <v>249</v>
      </c>
      <c r="S174" s="175">
        <v>0.28000000000000003</v>
      </c>
      <c r="T174" s="175">
        <v>294</v>
      </c>
      <c r="U174" s="148">
        <v>2</v>
      </c>
      <c r="V174" s="148">
        <f t="shared" si="29"/>
        <v>164.64000000000001</v>
      </c>
      <c r="W174" s="175">
        <f t="shared" si="30"/>
        <v>82.320000000000007</v>
      </c>
      <c r="X174" s="275">
        <f t="shared" si="31"/>
        <v>82.320000000000007</v>
      </c>
    </row>
    <row r="175" spans="13:24" x14ac:dyDescent="0.25">
      <c r="M175" s="273">
        <v>14</v>
      </c>
      <c r="N175" s="175"/>
      <c r="O175" s="219">
        <v>44852</v>
      </c>
      <c r="P175" s="175" t="s">
        <v>210</v>
      </c>
      <c r="Q175" s="175" t="s">
        <v>211</v>
      </c>
      <c r="R175" s="175" t="s">
        <v>249</v>
      </c>
      <c r="S175" s="175">
        <v>0.28000000000000003</v>
      </c>
      <c r="T175" s="172">
        <v>65.599999999999994</v>
      </c>
      <c r="U175" s="148">
        <v>2</v>
      </c>
      <c r="V175" s="148">
        <f t="shared" si="29"/>
        <v>36.735999999999997</v>
      </c>
      <c r="W175" s="175">
        <f t="shared" si="30"/>
        <v>18.367999999999999</v>
      </c>
      <c r="X175" s="275">
        <f t="shared" si="31"/>
        <v>18.367999999999999</v>
      </c>
    </row>
    <row r="176" spans="13:24" x14ac:dyDescent="0.25">
      <c r="M176" s="273">
        <v>15</v>
      </c>
      <c r="N176" s="175"/>
      <c r="O176" s="219">
        <v>44873</v>
      </c>
      <c r="P176" s="175" t="s">
        <v>210</v>
      </c>
      <c r="Q176" s="175" t="s">
        <v>282</v>
      </c>
      <c r="R176" s="175" t="s">
        <v>260</v>
      </c>
      <c r="S176" s="175">
        <v>0.22</v>
      </c>
      <c r="T176" s="175">
        <v>268</v>
      </c>
      <c r="U176" s="148">
        <v>3</v>
      </c>
      <c r="V176" s="148">
        <f t="shared" si="29"/>
        <v>176.88</v>
      </c>
      <c r="W176" s="175">
        <f t="shared" si="30"/>
        <v>58.96</v>
      </c>
      <c r="X176" s="275">
        <f t="shared" si="31"/>
        <v>117.91999999999999</v>
      </c>
    </row>
    <row r="177" spans="13:24" x14ac:dyDescent="0.25">
      <c r="M177" s="273">
        <v>16</v>
      </c>
      <c r="N177" s="175"/>
      <c r="O177" s="219">
        <v>44889</v>
      </c>
      <c r="P177" s="175" t="s">
        <v>210</v>
      </c>
      <c r="Q177" s="175" t="s">
        <v>282</v>
      </c>
      <c r="R177" s="175" t="s">
        <v>284</v>
      </c>
      <c r="S177" s="175">
        <v>0.28999999999999998</v>
      </c>
      <c r="T177" s="175">
        <v>268</v>
      </c>
      <c r="U177" s="148">
        <v>2</v>
      </c>
      <c r="V177" s="148">
        <f t="shared" si="29"/>
        <v>155.44</v>
      </c>
      <c r="W177" s="175">
        <f t="shared" si="30"/>
        <v>77.72</v>
      </c>
      <c r="X177" s="275">
        <f t="shared" si="31"/>
        <v>77.72</v>
      </c>
    </row>
    <row r="178" spans="13:24" x14ac:dyDescent="0.25">
      <c r="M178" s="273">
        <v>17</v>
      </c>
      <c r="N178" s="175"/>
      <c r="O178" s="270">
        <v>44893</v>
      </c>
      <c r="P178" s="175" t="s">
        <v>210</v>
      </c>
      <c r="Q178" s="175" t="s">
        <v>282</v>
      </c>
      <c r="R178" s="175" t="s">
        <v>270</v>
      </c>
      <c r="S178" s="175">
        <v>0.48</v>
      </c>
      <c r="T178" s="175">
        <v>268</v>
      </c>
      <c r="U178" s="148">
        <v>2</v>
      </c>
      <c r="V178" s="148">
        <f t="shared" si="29"/>
        <v>257.27999999999997</v>
      </c>
      <c r="W178" s="175">
        <f t="shared" si="30"/>
        <v>128.63999999999999</v>
      </c>
      <c r="X178" s="275">
        <f t="shared" si="31"/>
        <v>128.63999999999999</v>
      </c>
    </row>
    <row r="179" spans="13:24" x14ac:dyDescent="0.25">
      <c r="M179" s="276">
        <v>18</v>
      </c>
      <c r="N179" s="277"/>
      <c r="O179" s="278">
        <v>44902</v>
      </c>
      <c r="P179" s="277" t="s">
        <v>210</v>
      </c>
      <c r="Q179" s="277" t="s">
        <v>282</v>
      </c>
      <c r="R179" s="277" t="s">
        <v>261</v>
      </c>
      <c r="S179" s="277">
        <v>0.22</v>
      </c>
      <c r="T179" s="175">
        <v>268</v>
      </c>
      <c r="U179" s="204">
        <v>2</v>
      </c>
      <c r="V179" s="204">
        <f t="shared" si="29"/>
        <v>117.92</v>
      </c>
      <c r="W179" s="277">
        <f t="shared" si="30"/>
        <v>58.96</v>
      </c>
      <c r="X179" s="279">
        <f t="shared" si="31"/>
        <v>58.96</v>
      </c>
    </row>
    <row r="180" spans="13:24" ht="16.5" thickBot="1" x14ac:dyDescent="0.3">
      <c r="M180" s="174"/>
      <c r="N180" s="175"/>
      <c r="O180" s="219"/>
      <c r="P180" s="175"/>
      <c r="Q180" s="175"/>
      <c r="R180" s="175"/>
      <c r="S180" s="175"/>
      <c r="T180" s="175"/>
      <c r="U180" s="148"/>
      <c r="V180" s="148"/>
      <c r="W180" s="175"/>
      <c r="X180" s="220"/>
    </row>
    <row r="181" spans="13:24" ht="16.5" thickBot="1" x14ac:dyDescent="0.3">
      <c r="M181" s="518" t="s">
        <v>2</v>
      </c>
      <c r="N181" s="519"/>
      <c r="O181" s="519"/>
      <c r="P181" s="519"/>
      <c r="Q181" s="519"/>
      <c r="R181" s="519"/>
      <c r="S181" s="520"/>
      <c r="T181" s="224">
        <f>SUM(T162:T180)</f>
        <v>4355.6000000000004</v>
      </c>
      <c r="U181" s="211"/>
      <c r="V181" s="211"/>
      <c r="W181" s="212"/>
      <c r="X181" s="212">
        <f>SUM(X162:X180)</f>
        <v>1559.5479999999998</v>
      </c>
    </row>
    <row r="184" spans="13:24" x14ac:dyDescent="0.25">
      <c r="M184" s="509" t="s">
        <v>285</v>
      </c>
      <c r="N184" s="510"/>
      <c r="O184" s="510"/>
      <c r="P184" s="510"/>
      <c r="Q184" s="510"/>
      <c r="R184" s="510"/>
      <c r="S184" s="510"/>
      <c r="T184" s="510"/>
      <c r="U184" s="510"/>
      <c r="V184" s="510"/>
      <c r="W184" s="510"/>
      <c r="X184" s="511"/>
    </row>
    <row r="185" spans="13:24" x14ac:dyDescent="0.25">
      <c r="M185" s="512"/>
      <c r="N185" s="513"/>
      <c r="O185" s="513"/>
      <c r="P185" s="513"/>
      <c r="Q185" s="513"/>
      <c r="R185" s="513"/>
      <c r="S185" s="513"/>
      <c r="T185" s="513"/>
      <c r="U185" s="513"/>
      <c r="V185" s="513"/>
      <c r="W185" s="513"/>
      <c r="X185" s="514"/>
    </row>
    <row r="186" spans="13:24" ht="16.5" thickBot="1" x14ac:dyDescent="0.3">
      <c r="M186" s="515"/>
      <c r="N186" s="516"/>
      <c r="O186" s="516"/>
      <c r="P186" s="516"/>
      <c r="Q186" s="516"/>
      <c r="R186" s="516"/>
      <c r="S186" s="516"/>
      <c r="T186" s="516"/>
      <c r="U186" s="516"/>
      <c r="V186" s="516"/>
      <c r="W186" s="516"/>
      <c r="X186" s="517"/>
    </row>
    <row r="187" spans="13:24" ht="51" thickBot="1" x14ac:dyDescent="0.3">
      <c r="M187" s="214" t="s">
        <v>199</v>
      </c>
      <c r="N187" s="214" t="s">
        <v>243</v>
      </c>
      <c r="O187" s="214" t="s">
        <v>200</v>
      </c>
      <c r="P187" s="214" t="s">
        <v>201</v>
      </c>
      <c r="Q187" s="214" t="s">
        <v>202</v>
      </c>
      <c r="R187" s="214" t="s">
        <v>203</v>
      </c>
      <c r="S187" s="215" t="s">
        <v>204</v>
      </c>
      <c r="T187" s="215" t="s">
        <v>205</v>
      </c>
      <c r="U187" s="215" t="s">
        <v>278</v>
      </c>
      <c r="V187" s="215" t="s">
        <v>207</v>
      </c>
      <c r="W187" s="215" t="s">
        <v>208</v>
      </c>
      <c r="X187" s="215" t="s">
        <v>209</v>
      </c>
    </row>
    <row r="188" spans="13:24" x14ac:dyDescent="0.25">
      <c r="M188" s="171">
        <v>1</v>
      </c>
      <c r="N188" s="172"/>
      <c r="O188" s="216"/>
      <c r="P188" s="172" t="s">
        <v>210</v>
      </c>
      <c r="Q188" s="172"/>
      <c r="R188" s="172"/>
      <c r="S188" s="172"/>
      <c r="T188" s="172"/>
      <c r="U188" s="143"/>
      <c r="V188" s="143">
        <f t="shared" ref="V188:V211" si="32">S188*T188*U188</f>
        <v>0</v>
      </c>
      <c r="W188" s="172">
        <f t="shared" ref="W188:W211" si="33">S188*T188</f>
        <v>0</v>
      </c>
      <c r="X188" s="218">
        <f t="shared" ref="X188:X211" si="34">V188-W188</f>
        <v>0</v>
      </c>
    </row>
    <row r="189" spans="13:24" x14ac:dyDescent="0.25">
      <c r="M189" s="174">
        <v>2</v>
      </c>
      <c r="N189" s="219"/>
      <c r="O189" s="219"/>
      <c r="P189" s="175" t="s">
        <v>210</v>
      </c>
      <c r="Q189" s="175"/>
      <c r="R189" s="187"/>
      <c r="S189" s="175"/>
      <c r="T189" s="175"/>
      <c r="U189" s="148"/>
      <c r="V189" s="148">
        <f t="shared" si="32"/>
        <v>0</v>
      </c>
      <c r="W189" s="175">
        <f t="shared" si="33"/>
        <v>0</v>
      </c>
      <c r="X189" s="220">
        <f t="shared" si="34"/>
        <v>0</v>
      </c>
    </row>
    <row r="190" spans="13:24" x14ac:dyDescent="0.25">
      <c r="M190" s="174">
        <v>3</v>
      </c>
      <c r="N190" s="175"/>
      <c r="O190" s="219"/>
      <c r="P190" s="175" t="s">
        <v>210</v>
      </c>
      <c r="Q190" s="175"/>
      <c r="R190" s="175"/>
      <c r="S190" s="175"/>
      <c r="T190" s="175"/>
      <c r="U190" s="148"/>
      <c r="V190" s="148">
        <f t="shared" si="32"/>
        <v>0</v>
      </c>
      <c r="W190" s="175">
        <f t="shared" si="33"/>
        <v>0</v>
      </c>
      <c r="X190" s="220">
        <f t="shared" si="34"/>
        <v>0</v>
      </c>
    </row>
    <row r="191" spans="13:24" x14ac:dyDescent="0.25">
      <c r="M191" s="174">
        <v>4</v>
      </c>
      <c r="N191" s="175"/>
      <c r="O191" s="219"/>
      <c r="P191" s="175" t="s">
        <v>210</v>
      </c>
      <c r="Q191" s="175"/>
      <c r="R191" s="175"/>
      <c r="S191" s="175"/>
      <c r="T191" s="175"/>
      <c r="U191" s="148"/>
      <c r="V191" s="148">
        <f t="shared" si="32"/>
        <v>0</v>
      </c>
      <c r="W191" s="175">
        <f t="shared" si="33"/>
        <v>0</v>
      </c>
      <c r="X191" s="220">
        <f t="shared" si="34"/>
        <v>0</v>
      </c>
    </row>
    <row r="192" spans="13:24" x14ac:dyDescent="0.25">
      <c r="M192" s="174">
        <v>5</v>
      </c>
      <c r="N192" s="175"/>
      <c r="O192" s="219"/>
      <c r="P192" s="175" t="s">
        <v>210</v>
      </c>
      <c r="Q192" s="175"/>
      <c r="R192" s="175"/>
      <c r="S192" s="175"/>
      <c r="T192" s="175"/>
      <c r="U192" s="148"/>
      <c r="V192" s="148">
        <f t="shared" si="32"/>
        <v>0</v>
      </c>
      <c r="W192" s="175">
        <f t="shared" si="33"/>
        <v>0</v>
      </c>
      <c r="X192" s="220">
        <f t="shared" si="34"/>
        <v>0</v>
      </c>
    </row>
    <row r="193" spans="13:24" x14ac:dyDescent="0.25">
      <c r="M193" s="174">
        <v>6</v>
      </c>
      <c r="N193" s="175"/>
      <c r="O193" s="219"/>
      <c r="P193" s="175" t="s">
        <v>210</v>
      </c>
      <c r="Q193" s="175"/>
      <c r="R193" s="175"/>
      <c r="S193" s="175"/>
      <c r="T193" s="175"/>
      <c r="U193" s="148"/>
      <c r="V193" s="148">
        <f t="shared" si="32"/>
        <v>0</v>
      </c>
      <c r="W193" s="175">
        <f t="shared" si="33"/>
        <v>0</v>
      </c>
      <c r="X193" s="220">
        <f t="shared" si="34"/>
        <v>0</v>
      </c>
    </row>
    <row r="194" spans="13:24" x14ac:dyDescent="0.25">
      <c r="M194" s="174">
        <v>7</v>
      </c>
      <c r="N194" s="175"/>
      <c r="O194" s="219"/>
      <c r="P194" s="175" t="s">
        <v>210</v>
      </c>
      <c r="Q194" s="175"/>
      <c r="R194" s="175"/>
      <c r="S194" s="175"/>
      <c r="T194" s="175"/>
      <c r="U194" s="148"/>
      <c r="V194" s="148">
        <f t="shared" si="32"/>
        <v>0</v>
      </c>
      <c r="W194" s="175">
        <f t="shared" si="33"/>
        <v>0</v>
      </c>
      <c r="X194" s="220">
        <f t="shared" si="34"/>
        <v>0</v>
      </c>
    </row>
    <row r="195" spans="13:24" x14ac:dyDescent="0.25">
      <c r="M195" s="174">
        <v>8</v>
      </c>
      <c r="N195" s="175"/>
      <c r="O195" s="219"/>
      <c r="P195" s="175" t="s">
        <v>210</v>
      </c>
      <c r="Q195" s="175"/>
      <c r="R195" s="175"/>
      <c r="S195" s="175"/>
      <c r="T195" s="175"/>
      <c r="U195" s="148"/>
      <c r="V195" s="148">
        <f t="shared" si="32"/>
        <v>0</v>
      </c>
      <c r="W195" s="175">
        <f t="shared" si="33"/>
        <v>0</v>
      </c>
      <c r="X195" s="220">
        <f t="shared" si="34"/>
        <v>0</v>
      </c>
    </row>
    <row r="196" spans="13:24" x14ac:dyDescent="0.25">
      <c r="M196" s="174">
        <v>9</v>
      </c>
      <c r="N196" s="175"/>
      <c r="O196" s="219"/>
      <c r="P196" s="175" t="s">
        <v>210</v>
      </c>
      <c r="Q196" s="175"/>
      <c r="R196" s="175"/>
      <c r="S196" s="175"/>
      <c r="T196" s="175"/>
      <c r="U196" s="148"/>
      <c r="V196" s="148">
        <f t="shared" si="32"/>
        <v>0</v>
      </c>
      <c r="W196" s="175">
        <f t="shared" si="33"/>
        <v>0</v>
      </c>
      <c r="X196" s="220">
        <f t="shared" si="34"/>
        <v>0</v>
      </c>
    </row>
    <row r="197" spans="13:24" x14ac:dyDescent="0.25">
      <c r="M197" s="174">
        <v>10</v>
      </c>
      <c r="N197" s="175"/>
      <c r="O197" s="219"/>
      <c r="P197" s="175" t="s">
        <v>210</v>
      </c>
      <c r="Q197" s="175"/>
      <c r="R197" s="175"/>
      <c r="S197" s="175"/>
      <c r="T197" s="175"/>
      <c r="U197" s="148"/>
      <c r="V197" s="148">
        <f t="shared" si="32"/>
        <v>0</v>
      </c>
      <c r="W197" s="175">
        <f t="shared" si="33"/>
        <v>0</v>
      </c>
      <c r="X197" s="220">
        <f t="shared" si="34"/>
        <v>0</v>
      </c>
    </row>
    <row r="198" spans="13:24" x14ac:dyDescent="0.25">
      <c r="M198" s="174">
        <v>11</v>
      </c>
      <c r="N198" s="175"/>
      <c r="O198" s="219"/>
      <c r="P198" s="175" t="s">
        <v>210</v>
      </c>
      <c r="Q198" s="175"/>
      <c r="R198" s="175"/>
      <c r="S198" s="175"/>
      <c r="T198" s="175"/>
      <c r="U198" s="148"/>
      <c r="V198" s="148">
        <f t="shared" si="32"/>
        <v>0</v>
      </c>
      <c r="W198" s="175">
        <f t="shared" si="33"/>
        <v>0</v>
      </c>
      <c r="X198" s="220">
        <f t="shared" si="34"/>
        <v>0</v>
      </c>
    </row>
    <row r="199" spans="13:24" x14ac:dyDescent="0.25">
      <c r="M199" s="174">
        <v>12</v>
      </c>
      <c r="N199" s="175"/>
      <c r="O199" s="219"/>
      <c r="P199" s="175" t="s">
        <v>210</v>
      </c>
      <c r="Q199" s="175"/>
      <c r="R199" s="175"/>
      <c r="S199" s="175"/>
      <c r="T199" s="175"/>
      <c r="U199" s="148"/>
      <c r="V199" s="148">
        <f t="shared" si="32"/>
        <v>0</v>
      </c>
      <c r="W199" s="175">
        <f t="shared" si="33"/>
        <v>0</v>
      </c>
      <c r="X199" s="220">
        <f t="shared" si="34"/>
        <v>0</v>
      </c>
    </row>
    <row r="200" spans="13:24" x14ac:dyDescent="0.25">
      <c r="M200" s="174">
        <v>13</v>
      </c>
      <c r="N200" s="175"/>
      <c r="O200" s="219"/>
      <c r="P200" s="175" t="s">
        <v>210</v>
      </c>
      <c r="Q200" s="175"/>
      <c r="R200" s="175"/>
      <c r="S200" s="175"/>
      <c r="T200" s="175"/>
      <c r="U200" s="148"/>
      <c r="V200" s="148">
        <f t="shared" si="32"/>
        <v>0</v>
      </c>
      <c r="W200" s="175">
        <f t="shared" si="33"/>
        <v>0</v>
      </c>
      <c r="X200" s="220">
        <f t="shared" si="34"/>
        <v>0</v>
      </c>
    </row>
    <row r="201" spans="13:24" x14ac:dyDescent="0.25">
      <c r="M201" s="174">
        <v>14</v>
      </c>
      <c r="N201" s="175"/>
      <c r="O201" s="219"/>
      <c r="P201" s="175" t="s">
        <v>210</v>
      </c>
      <c r="Q201" s="175"/>
      <c r="R201" s="175"/>
      <c r="S201" s="175"/>
      <c r="T201" s="175"/>
      <c r="U201" s="148"/>
      <c r="V201" s="148">
        <f t="shared" si="32"/>
        <v>0</v>
      </c>
      <c r="W201" s="175">
        <f t="shared" si="33"/>
        <v>0</v>
      </c>
      <c r="X201" s="220">
        <f t="shared" si="34"/>
        <v>0</v>
      </c>
    </row>
    <row r="202" spans="13:24" x14ac:dyDescent="0.25">
      <c r="M202" s="174">
        <v>15</v>
      </c>
      <c r="N202" s="175"/>
      <c r="O202" s="219"/>
      <c r="P202" s="175" t="s">
        <v>210</v>
      </c>
      <c r="Q202" s="175"/>
      <c r="R202" s="175"/>
      <c r="S202" s="175"/>
      <c r="T202" s="175"/>
      <c r="U202" s="148"/>
      <c r="V202" s="148">
        <f t="shared" si="32"/>
        <v>0</v>
      </c>
      <c r="W202" s="175">
        <f t="shared" si="33"/>
        <v>0</v>
      </c>
      <c r="X202" s="220">
        <f t="shared" si="34"/>
        <v>0</v>
      </c>
    </row>
    <row r="203" spans="13:24" x14ac:dyDescent="0.25">
      <c r="M203" s="174">
        <v>16</v>
      </c>
      <c r="N203" s="175"/>
      <c r="O203" s="219"/>
      <c r="P203" s="175" t="s">
        <v>210</v>
      </c>
      <c r="Q203" s="175"/>
      <c r="R203" s="175"/>
      <c r="S203" s="175"/>
      <c r="T203" s="175"/>
      <c r="U203" s="148"/>
      <c r="V203" s="148">
        <f t="shared" si="32"/>
        <v>0</v>
      </c>
      <c r="W203" s="175">
        <f t="shared" si="33"/>
        <v>0</v>
      </c>
      <c r="X203" s="220">
        <f t="shared" si="34"/>
        <v>0</v>
      </c>
    </row>
    <row r="204" spans="13:24" x14ac:dyDescent="0.25">
      <c r="M204" s="174">
        <v>17</v>
      </c>
      <c r="N204" s="175"/>
      <c r="O204" s="219"/>
      <c r="P204" s="175" t="s">
        <v>210</v>
      </c>
      <c r="Q204" s="175"/>
      <c r="R204" s="175"/>
      <c r="S204" s="175"/>
      <c r="T204" s="175"/>
      <c r="U204" s="148"/>
      <c r="V204" s="148">
        <f t="shared" si="32"/>
        <v>0</v>
      </c>
      <c r="W204" s="175">
        <f t="shared" si="33"/>
        <v>0</v>
      </c>
      <c r="X204" s="220">
        <f t="shared" si="34"/>
        <v>0</v>
      </c>
    </row>
    <row r="205" spans="13:24" x14ac:dyDescent="0.25">
      <c r="M205" s="174">
        <v>18</v>
      </c>
      <c r="N205" s="175"/>
      <c r="O205" s="219"/>
      <c r="P205" s="175" t="s">
        <v>210</v>
      </c>
      <c r="Q205" s="175"/>
      <c r="R205" s="175"/>
      <c r="S205" s="175"/>
      <c r="T205" s="175"/>
      <c r="U205" s="148"/>
      <c r="V205" s="148">
        <f t="shared" si="32"/>
        <v>0</v>
      </c>
      <c r="W205" s="175">
        <f t="shared" si="33"/>
        <v>0</v>
      </c>
      <c r="X205" s="220">
        <f t="shared" si="34"/>
        <v>0</v>
      </c>
    </row>
    <row r="206" spans="13:24" x14ac:dyDescent="0.25">
      <c r="M206" s="174">
        <v>19</v>
      </c>
      <c r="N206" s="175"/>
      <c r="O206" s="219"/>
      <c r="P206" s="175" t="s">
        <v>210</v>
      </c>
      <c r="Q206" s="175"/>
      <c r="R206" s="175"/>
      <c r="S206" s="175"/>
      <c r="T206" s="175"/>
      <c r="U206" s="148"/>
      <c r="V206" s="148">
        <f t="shared" si="32"/>
        <v>0</v>
      </c>
      <c r="W206" s="175">
        <f t="shared" si="33"/>
        <v>0</v>
      </c>
      <c r="X206" s="220">
        <f t="shared" si="34"/>
        <v>0</v>
      </c>
    </row>
    <row r="207" spans="13:24" x14ac:dyDescent="0.25">
      <c r="M207" s="174">
        <v>20</v>
      </c>
      <c r="N207" s="175"/>
      <c r="O207" s="219"/>
      <c r="P207" s="175" t="s">
        <v>210</v>
      </c>
      <c r="Q207" s="175"/>
      <c r="R207" s="175"/>
      <c r="S207" s="175"/>
      <c r="T207" s="175"/>
      <c r="U207" s="148"/>
      <c r="V207" s="148">
        <f t="shared" si="32"/>
        <v>0</v>
      </c>
      <c r="W207" s="175">
        <f t="shared" si="33"/>
        <v>0</v>
      </c>
      <c r="X207" s="220">
        <f t="shared" si="34"/>
        <v>0</v>
      </c>
    </row>
    <row r="208" spans="13:24" x14ac:dyDescent="0.25">
      <c r="M208" s="174">
        <v>21</v>
      </c>
      <c r="N208" s="175"/>
      <c r="O208" s="219"/>
      <c r="P208" s="175" t="s">
        <v>210</v>
      </c>
      <c r="Q208" s="175"/>
      <c r="R208" s="175"/>
      <c r="S208" s="175"/>
      <c r="T208" s="175"/>
      <c r="U208" s="148"/>
      <c r="V208" s="148">
        <f t="shared" si="32"/>
        <v>0</v>
      </c>
      <c r="W208" s="175">
        <f t="shared" si="33"/>
        <v>0</v>
      </c>
      <c r="X208" s="220">
        <f t="shared" si="34"/>
        <v>0</v>
      </c>
    </row>
    <row r="209" spans="13:24" x14ac:dyDescent="0.25">
      <c r="M209" s="174">
        <v>22</v>
      </c>
      <c r="N209" s="175"/>
      <c r="O209" s="219"/>
      <c r="P209" s="175" t="s">
        <v>210</v>
      </c>
      <c r="Q209" s="175"/>
      <c r="R209" s="175"/>
      <c r="S209" s="175"/>
      <c r="T209" s="175"/>
      <c r="U209" s="148"/>
      <c r="V209" s="148">
        <f t="shared" si="32"/>
        <v>0</v>
      </c>
      <c r="W209" s="175">
        <f t="shared" si="33"/>
        <v>0</v>
      </c>
      <c r="X209" s="220">
        <f t="shared" si="34"/>
        <v>0</v>
      </c>
    </row>
    <row r="210" spans="13:24" x14ac:dyDescent="0.25">
      <c r="M210" s="174">
        <v>23</v>
      </c>
      <c r="N210" s="175"/>
      <c r="O210" s="219"/>
      <c r="P210" s="175" t="s">
        <v>210</v>
      </c>
      <c r="Q210" s="175"/>
      <c r="R210" s="175"/>
      <c r="S210" s="175"/>
      <c r="T210" s="175"/>
      <c r="U210" s="148"/>
      <c r="V210" s="148">
        <f t="shared" si="32"/>
        <v>0</v>
      </c>
      <c r="W210" s="175">
        <f t="shared" si="33"/>
        <v>0</v>
      </c>
      <c r="X210" s="220">
        <f t="shared" si="34"/>
        <v>0</v>
      </c>
    </row>
    <row r="211" spans="13:24" ht="16.5" thickBot="1" x14ac:dyDescent="0.3">
      <c r="M211" s="174">
        <v>24</v>
      </c>
      <c r="N211" s="175"/>
      <c r="O211" s="219"/>
      <c r="P211" s="175" t="s">
        <v>210</v>
      </c>
      <c r="Q211" s="175"/>
      <c r="R211" s="175"/>
      <c r="S211" s="175"/>
      <c r="T211" s="175"/>
      <c r="U211" s="148"/>
      <c r="V211" s="148">
        <f t="shared" si="32"/>
        <v>0</v>
      </c>
      <c r="W211" s="175">
        <f t="shared" si="33"/>
        <v>0</v>
      </c>
      <c r="X211" s="220">
        <f t="shared" si="34"/>
        <v>0</v>
      </c>
    </row>
    <row r="212" spans="13:24" ht="16.5" thickBot="1" x14ac:dyDescent="0.3">
      <c r="M212" s="518" t="s">
        <v>2</v>
      </c>
      <c r="N212" s="519"/>
      <c r="O212" s="519"/>
      <c r="P212" s="519"/>
      <c r="Q212" s="519"/>
      <c r="R212" s="519"/>
      <c r="S212" s="520"/>
      <c r="T212" s="224">
        <f>SUM(T188:T211)</f>
        <v>0</v>
      </c>
      <c r="U212" s="211"/>
      <c r="V212" s="211"/>
      <c r="W212" s="212"/>
      <c r="X212" s="212">
        <f>SUM(X188:X211)</f>
        <v>0</v>
      </c>
    </row>
  </sheetData>
  <autoFilter ref="M87:X132" xr:uid="{772325D0-1AC2-4202-8F1F-EA4EA559C005}"/>
  <mergeCells count="113">
    <mergeCell ref="M149:S149"/>
    <mergeCell ref="M152:X154"/>
    <mergeCell ref="M155:X155"/>
    <mergeCell ref="M158:X160"/>
    <mergeCell ref="D137:K137"/>
    <mergeCell ref="M137:X139"/>
    <mergeCell ref="D138:K143"/>
    <mergeCell ref="D144:K144"/>
    <mergeCell ref="D145:K146"/>
    <mergeCell ref="M132:S132"/>
    <mergeCell ref="D133:K133"/>
    <mergeCell ref="D134:F134"/>
    <mergeCell ref="G134:H134"/>
    <mergeCell ref="I134:K134"/>
    <mergeCell ref="G135:H136"/>
    <mergeCell ref="J131:K132"/>
    <mergeCell ref="H129:K129"/>
    <mergeCell ref="H130:I130"/>
    <mergeCell ref="J130:K130"/>
    <mergeCell ref="D123:G132"/>
    <mergeCell ref="H123:K123"/>
    <mergeCell ref="H126:K126"/>
    <mergeCell ref="H127:K128"/>
    <mergeCell ref="D114:K114"/>
    <mergeCell ref="D115:G115"/>
    <mergeCell ref="H115:K115"/>
    <mergeCell ref="D116:G121"/>
    <mergeCell ref="H116:K121"/>
    <mergeCell ref="D122:G122"/>
    <mergeCell ref="H122:K122"/>
    <mergeCell ref="D109:K109"/>
    <mergeCell ref="D110:K111"/>
    <mergeCell ref="D102:K102"/>
    <mergeCell ref="D103:K108"/>
    <mergeCell ref="G99:H99"/>
    <mergeCell ref="I99:K99"/>
    <mergeCell ref="G100:H101"/>
    <mergeCell ref="D87:G87"/>
    <mergeCell ref="H87:K87"/>
    <mergeCell ref="D88:G97"/>
    <mergeCell ref="H88:K88"/>
    <mergeCell ref="H91:K91"/>
    <mergeCell ref="H92:K93"/>
    <mergeCell ref="H94:K94"/>
    <mergeCell ref="H95:I95"/>
    <mergeCell ref="J95:K95"/>
    <mergeCell ref="J96:K97"/>
    <mergeCell ref="D98:K98"/>
    <mergeCell ref="D99:F99"/>
    <mergeCell ref="M81:V81"/>
    <mergeCell ref="M84:X86"/>
    <mergeCell ref="D80:G80"/>
    <mergeCell ref="H80:K80"/>
    <mergeCell ref="D81:G86"/>
    <mergeCell ref="H81:K86"/>
    <mergeCell ref="D79:K79"/>
    <mergeCell ref="D74:K74"/>
    <mergeCell ref="D75:K76"/>
    <mergeCell ref="D68:K73"/>
    <mergeCell ref="D67:K67"/>
    <mergeCell ref="J61:K62"/>
    <mergeCell ref="D63:K63"/>
    <mergeCell ref="D64:F64"/>
    <mergeCell ref="G64:H64"/>
    <mergeCell ref="I64:K64"/>
    <mergeCell ref="G65:H66"/>
    <mergeCell ref="D52:G52"/>
    <mergeCell ref="H52:K52"/>
    <mergeCell ref="D53:G62"/>
    <mergeCell ref="H53:K53"/>
    <mergeCell ref="H56:K56"/>
    <mergeCell ref="H57:K58"/>
    <mergeCell ref="H59:K59"/>
    <mergeCell ref="H60:I60"/>
    <mergeCell ref="J60:K60"/>
    <mergeCell ref="J26:K26"/>
    <mergeCell ref="D19:G28"/>
    <mergeCell ref="H19:K19"/>
    <mergeCell ref="H22:K22"/>
    <mergeCell ref="D44:K44"/>
    <mergeCell ref="D45:G45"/>
    <mergeCell ref="H45:K45"/>
    <mergeCell ref="D46:G51"/>
    <mergeCell ref="H46:K51"/>
    <mergeCell ref="D40:K40"/>
    <mergeCell ref="D41:K42"/>
    <mergeCell ref="G31:H32"/>
    <mergeCell ref="D33:K33"/>
    <mergeCell ref="D34:K39"/>
    <mergeCell ref="D12:G17"/>
    <mergeCell ref="H12:K17"/>
    <mergeCell ref="D18:G18"/>
    <mergeCell ref="H18:K18"/>
    <mergeCell ref="M184:X186"/>
    <mergeCell ref="M212:S212"/>
    <mergeCell ref="M181:S181"/>
    <mergeCell ref="A2:X2"/>
    <mergeCell ref="A3:X3"/>
    <mergeCell ref="A4:X4"/>
    <mergeCell ref="D6:F8"/>
    <mergeCell ref="G6:W8"/>
    <mergeCell ref="D10:K10"/>
    <mergeCell ref="M10:W12"/>
    <mergeCell ref="D11:G11"/>
    <mergeCell ref="H11:K11"/>
    <mergeCell ref="D29:K29"/>
    <mergeCell ref="D30:F30"/>
    <mergeCell ref="J27:K28"/>
    <mergeCell ref="G30:H30"/>
    <mergeCell ref="I30:K30"/>
    <mergeCell ref="H23:K24"/>
    <mergeCell ref="H25:K25"/>
    <mergeCell ref="H26:I26"/>
  </mergeCells>
  <phoneticPr fontId="30" type="noConversion"/>
  <pageMargins left="0.7" right="0.7" top="0.75" bottom="0.75" header="0.3" footer="0.3"/>
  <pageSetup paperSize="9"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A4251-538D-4783-8F6E-27592E237DEF}">
  <dimension ref="B1:O47"/>
  <sheetViews>
    <sheetView showGridLines="0" topLeftCell="A27" workbookViewId="0">
      <selection activeCell="J43" sqref="J43"/>
    </sheetView>
  </sheetViews>
  <sheetFormatPr baseColWidth="10" defaultColWidth="11" defaultRowHeight="14.25" x14ac:dyDescent="0.2"/>
  <cols>
    <col min="3" max="3" width="14.5" customWidth="1"/>
    <col min="5" max="5" width="12.25" bestFit="1" customWidth="1"/>
  </cols>
  <sheetData>
    <row r="1" spans="2:15" ht="15" x14ac:dyDescent="0.25">
      <c r="B1" s="598" t="s">
        <v>114</v>
      </c>
      <c r="C1" s="598"/>
      <c r="D1" s="598"/>
      <c r="E1" s="598"/>
      <c r="F1" s="598"/>
      <c r="G1" s="598"/>
      <c r="H1" s="598"/>
      <c r="I1" s="598"/>
      <c r="J1" s="598"/>
      <c r="K1" s="598"/>
      <c r="L1" s="598"/>
      <c r="N1" s="594" t="s">
        <v>286</v>
      </c>
      <c r="O1" s="594"/>
    </row>
    <row r="2" spans="2:15" ht="15" x14ac:dyDescent="0.25">
      <c r="B2" s="599" t="s">
        <v>287</v>
      </c>
      <c r="C2" s="600" t="s">
        <v>203</v>
      </c>
      <c r="D2" s="600"/>
      <c r="E2" s="600"/>
      <c r="F2" s="600"/>
      <c r="G2" s="600"/>
      <c r="H2" s="600"/>
      <c r="I2" s="600"/>
      <c r="J2" s="600"/>
      <c r="K2" s="600"/>
      <c r="L2" s="600"/>
      <c r="N2" s="286" t="s">
        <v>200</v>
      </c>
      <c r="O2" s="286" t="s">
        <v>288</v>
      </c>
    </row>
    <row r="3" spans="2:15" ht="15" x14ac:dyDescent="0.25">
      <c r="B3" s="599"/>
      <c r="C3" s="251">
        <v>249</v>
      </c>
      <c r="D3" s="252">
        <v>231</v>
      </c>
      <c r="E3" s="252">
        <v>232</v>
      </c>
      <c r="F3" s="252">
        <v>250</v>
      </c>
      <c r="G3" s="252">
        <v>265</v>
      </c>
      <c r="H3" s="252">
        <v>248</v>
      </c>
      <c r="I3" s="252">
        <v>264</v>
      </c>
      <c r="J3" s="252">
        <v>150</v>
      </c>
      <c r="K3" s="252">
        <v>164</v>
      </c>
      <c r="L3" s="253" t="s">
        <v>2</v>
      </c>
      <c r="N3" s="284">
        <v>44851</v>
      </c>
      <c r="O3" s="255">
        <v>33.18</v>
      </c>
    </row>
    <row r="4" spans="2:15" ht="15" x14ac:dyDescent="0.25">
      <c r="B4" s="254" t="s">
        <v>289</v>
      </c>
      <c r="C4" s="254">
        <v>1018</v>
      </c>
      <c r="D4" s="254">
        <v>520</v>
      </c>
      <c r="E4" s="254">
        <v>506</v>
      </c>
      <c r="F4" s="254">
        <v>673</v>
      </c>
      <c r="G4" s="254">
        <v>127</v>
      </c>
      <c r="H4" s="254">
        <v>514</v>
      </c>
      <c r="I4" s="254">
        <v>1078</v>
      </c>
      <c r="J4" s="254">
        <v>65</v>
      </c>
      <c r="K4" s="254">
        <v>27</v>
      </c>
      <c r="L4" s="255">
        <v>4528</v>
      </c>
      <c r="N4" s="285">
        <v>44827</v>
      </c>
      <c r="O4" s="255">
        <v>12.74</v>
      </c>
    </row>
    <row r="5" spans="2:15" ht="15" x14ac:dyDescent="0.25">
      <c r="B5" s="254" t="s">
        <v>290</v>
      </c>
      <c r="C5" s="254">
        <v>564</v>
      </c>
      <c r="D5" s="254">
        <v>813</v>
      </c>
      <c r="E5" s="254">
        <v>766</v>
      </c>
      <c r="F5" s="254">
        <v>1029</v>
      </c>
      <c r="G5" s="254">
        <v>568</v>
      </c>
      <c r="H5" s="254">
        <v>550</v>
      </c>
      <c r="I5" s="254">
        <v>1298</v>
      </c>
      <c r="J5" s="254"/>
      <c r="K5" s="254"/>
      <c r="L5" s="255">
        <v>5588</v>
      </c>
      <c r="N5" s="285">
        <v>44819</v>
      </c>
      <c r="O5" s="255">
        <v>29.81</v>
      </c>
    </row>
    <row r="6" spans="2:15" ht="15" x14ac:dyDescent="0.25">
      <c r="B6" s="254" t="s">
        <v>291</v>
      </c>
      <c r="C6" s="254">
        <v>0</v>
      </c>
      <c r="D6" s="254">
        <v>582</v>
      </c>
      <c r="E6" s="254">
        <v>755</v>
      </c>
      <c r="F6" s="254">
        <v>664</v>
      </c>
      <c r="G6" s="254">
        <v>833</v>
      </c>
      <c r="H6" s="254">
        <v>760</v>
      </c>
      <c r="I6" s="254">
        <v>1375</v>
      </c>
      <c r="J6" s="254"/>
      <c r="K6" s="254"/>
      <c r="L6" s="255">
        <v>4969</v>
      </c>
      <c r="N6" s="284">
        <v>44813</v>
      </c>
      <c r="O6" s="255">
        <v>14.29</v>
      </c>
    </row>
    <row r="7" spans="2:15" ht="15" x14ac:dyDescent="0.25">
      <c r="B7" s="254" t="s">
        <v>292</v>
      </c>
      <c r="C7" s="254">
        <v>0</v>
      </c>
      <c r="D7" s="254">
        <v>571</v>
      </c>
      <c r="E7" s="254">
        <v>644</v>
      </c>
      <c r="F7" s="254">
        <v>492</v>
      </c>
      <c r="G7" s="254">
        <v>232</v>
      </c>
      <c r="H7" s="254">
        <v>1112</v>
      </c>
      <c r="I7" s="254">
        <v>78</v>
      </c>
      <c r="J7" s="254"/>
      <c r="K7" s="254"/>
      <c r="L7" s="255">
        <v>3129</v>
      </c>
      <c r="N7" s="285">
        <v>44812</v>
      </c>
      <c r="O7" s="255">
        <v>16.64</v>
      </c>
    </row>
    <row r="8" spans="2:15" ht="15" x14ac:dyDescent="0.25">
      <c r="N8" s="284">
        <v>44811</v>
      </c>
      <c r="O8" s="255">
        <v>36.409999999999997</v>
      </c>
    </row>
    <row r="9" spans="2:15" ht="15" x14ac:dyDescent="0.25">
      <c r="N9" s="285">
        <v>44756</v>
      </c>
      <c r="O9" s="255">
        <v>22.01</v>
      </c>
    </row>
    <row r="10" spans="2:15" ht="15" x14ac:dyDescent="0.25">
      <c r="B10" s="256" t="s">
        <v>287</v>
      </c>
      <c r="C10" s="256" t="s">
        <v>293</v>
      </c>
      <c r="E10" s="601" t="s">
        <v>294</v>
      </c>
      <c r="F10" s="602"/>
      <c r="H10" s="603" t="s">
        <v>295</v>
      </c>
      <c r="I10" s="604"/>
      <c r="J10" s="604"/>
      <c r="K10" s="604"/>
      <c r="L10" s="605"/>
      <c r="N10" s="284">
        <v>44755</v>
      </c>
      <c r="O10" s="255">
        <v>11.3</v>
      </c>
    </row>
    <row r="11" spans="2:15" ht="15" x14ac:dyDescent="0.25">
      <c r="B11" s="254" t="s">
        <v>296</v>
      </c>
      <c r="C11" s="254">
        <v>228.52</v>
      </c>
      <c r="E11" s="254" t="s">
        <v>289</v>
      </c>
      <c r="F11" s="254">
        <f>L4/C11</f>
        <v>19.814458253106949</v>
      </c>
      <c r="H11" s="606"/>
      <c r="I11" s="607"/>
      <c r="J11" s="607"/>
      <c r="K11" s="607"/>
      <c r="L11" s="608"/>
      <c r="N11" s="285">
        <v>44754</v>
      </c>
      <c r="O11" s="255">
        <v>4.6399999999999997</v>
      </c>
    </row>
    <row r="12" spans="2:15" ht="15" x14ac:dyDescent="0.25">
      <c r="B12" s="254" t="s">
        <v>297</v>
      </c>
      <c r="C12" s="254">
        <v>212.76999999999995</v>
      </c>
      <c r="E12" s="254" t="s">
        <v>290</v>
      </c>
      <c r="F12" s="254">
        <f>L5/C12</f>
        <v>26.263101001080987</v>
      </c>
      <c r="H12" s="606"/>
      <c r="I12" s="607"/>
      <c r="J12" s="607"/>
      <c r="K12" s="607"/>
      <c r="L12" s="608"/>
      <c r="N12" s="284">
        <v>44753</v>
      </c>
      <c r="O12" s="255">
        <v>19.43</v>
      </c>
    </row>
    <row r="13" spans="2:15" ht="15" x14ac:dyDescent="0.25">
      <c r="B13" s="254" t="s">
        <v>298</v>
      </c>
      <c r="C13" s="254">
        <v>233.06</v>
      </c>
      <c r="E13" s="254" t="s">
        <v>291</v>
      </c>
      <c r="F13" s="254">
        <f>L6/C13</f>
        <v>21.320689951085559</v>
      </c>
      <c r="H13" s="606"/>
      <c r="I13" s="607"/>
      <c r="J13" s="607"/>
      <c r="K13" s="607"/>
      <c r="L13" s="608"/>
      <c r="N13" s="285">
        <v>44746</v>
      </c>
      <c r="O13" s="255">
        <v>29.64</v>
      </c>
    </row>
    <row r="14" spans="2:15" ht="15" x14ac:dyDescent="0.25">
      <c r="B14" s="254" t="s">
        <v>299</v>
      </c>
      <c r="C14" s="254">
        <v>231.69</v>
      </c>
      <c r="E14" s="254" t="s">
        <v>292</v>
      </c>
      <c r="F14" s="254">
        <f>L7/C14</f>
        <v>13.505114592774829</v>
      </c>
      <c r="H14" s="606"/>
      <c r="I14" s="607"/>
      <c r="J14" s="607"/>
      <c r="K14" s="607"/>
      <c r="L14" s="608"/>
      <c r="N14" s="284">
        <v>44737</v>
      </c>
      <c r="O14" s="255">
        <v>34.78</v>
      </c>
    </row>
    <row r="15" spans="2:15" ht="15" x14ac:dyDescent="0.25">
      <c r="B15" s="252" t="s">
        <v>2</v>
      </c>
      <c r="C15" s="254">
        <f>SUM(C11:C14)</f>
        <v>906.04</v>
      </c>
      <c r="E15" s="252" t="s">
        <v>300</v>
      </c>
      <c r="F15" s="257">
        <f>+AVERAGE(F11:F14)</f>
        <v>20.225840949512079</v>
      </c>
      <c r="H15" s="609"/>
      <c r="I15" s="610"/>
      <c r="J15" s="610"/>
      <c r="K15" s="610"/>
      <c r="L15" s="611"/>
      <c r="N15" s="285">
        <v>44737</v>
      </c>
      <c r="O15" s="255">
        <v>6.8</v>
      </c>
    </row>
    <row r="16" spans="2:15" ht="15" x14ac:dyDescent="0.25">
      <c r="N16" s="284">
        <v>44730</v>
      </c>
      <c r="O16" s="255">
        <v>4</v>
      </c>
    </row>
    <row r="17" spans="2:15" ht="15" x14ac:dyDescent="0.25">
      <c r="N17" s="284">
        <v>44900</v>
      </c>
      <c r="O17" s="255">
        <v>51.18</v>
      </c>
    </row>
    <row r="18" spans="2:15" ht="15.75" x14ac:dyDescent="0.25">
      <c r="B18" s="612" t="s">
        <v>301</v>
      </c>
      <c r="C18" s="612"/>
      <c r="D18" s="612"/>
      <c r="E18" s="612"/>
      <c r="F18" s="612"/>
      <c r="G18" s="612"/>
      <c r="H18" s="612"/>
      <c r="I18" s="612"/>
      <c r="J18" s="612"/>
      <c r="K18" s="612"/>
      <c r="L18" s="612"/>
      <c r="N18" s="285">
        <v>44899</v>
      </c>
      <c r="O18" s="255">
        <v>25.15</v>
      </c>
    </row>
    <row r="19" spans="2:15" ht="15" x14ac:dyDescent="0.25">
      <c r="B19" t="s">
        <v>302</v>
      </c>
      <c r="E19" s="282">
        <f>O47</f>
        <v>1096.6800000000003</v>
      </c>
      <c r="N19" s="285">
        <v>44893</v>
      </c>
      <c r="O19" s="255">
        <v>11.9</v>
      </c>
    </row>
    <row r="20" spans="2:15" ht="15" x14ac:dyDescent="0.25">
      <c r="B20" t="s">
        <v>303</v>
      </c>
      <c r="E20">
        <v>5.3400000000000003E-2</v>
      </c>
      <c r="N20" s="284">
        <v>44892</v>
      </c>
      <c r="O20" s="255">
        <v>65.11</v>
      </c>
    </row>
    <row r="21" spans="2:15" ht="15" x14ac:dyDescent="0.25">
      <c r="B21" t="s">
        <v>304</v>
      </c>
      <c r="E21">
        <v>2.2309999999999999</v>
      </c>
      <c r="N21" s="285">
        <v>44891</v>
      </c>
      <c r="O21" s="255">
        <v>61.81</v>
      </c>
    </row>
    <row r="22" spans="2:15" ht="15" x14ac:dyDescent="0.25">
      <c r="B22" s="593" t="s">
        <v>305</v>
      </c>
      <c r="C22" s="593"/>
      <c r="D22" s="593"/>
      <c r="E22" s="595">
        <f>0.907/1000</f>
        <v>9.0700000000000004E-4</v>
      </c>
      <c r="N22" s="284">
        <v>44886</v>
      </c>
      <c r="O22" s="255">
        <v>10.38</v>
      </c>
    </row>
    <row r="23" spans="2:15" ht="15" x14ac:dyDescent="0.25">
      <c r="B23" s="593"/>
      <c r="C23" s="593"/>
      <c r="D23" s="593"/>
      <c r="E23" s="595"/>
      <c r="N23" s="285">
        <v>44880</v>
      </c>
      <c r="O23" s="255">
        <v>16.920000000000002</v>
      </c>
    </row>
    <row r="24" spans="2:15" ht="15" x14ac:dyDescent="0.25">
      <c r="B24" s="596" t="s">
        <v>306</v>
      </c>
      <c r="C24" s="596"/>
      <c r="D24" s="596"/>
      <c r="E24">
        <f>0.283/1000</f>
        <v>2.8299999999999999E-4</v>
      </c>
      <c r="N24" s="284">
        <v>44879</v>
      </c>
      <c r="O24" s="255">
        <v>30.83</v>
      </c>
    </row>
    <row r="25" spans="2:15" ht="15" x14ac:dyDescent="0.25">
      <c r="B25" s="596"/>
      <c r="C25" s="596"/>
      <c r="D25" s="596"/>
      <c r="N25" s="285">
        <v>44875</v>
      </c>
      <c r="O25" s="255">
        <v>17.190000000000001</v>
      </c>
    </row>
    <row r="26" spans="2:15" ht="15" x14ac:dyDescent="0.25">
      <c r="N26" s="284">
        <v>44869</v>
      </c>
      <c r="O26" s="255">
        <v>1.44</v>
      </c>
    </row>
    <row r="27" spans="2:15" ht="15" x14ac:dyDescent="0.25">
      <c r="B27" s="592" t="s">
        <v>307</v>
      </c>
      <c r="C27" s="592"/>
      <c r="D27" s="592"/>
      <c r="E27" s="592"/>
      <c r="N27" s="285">
        <v>44868</v>
      </c>
      <c r="O27" s="255">
        <v>39.72</v>
      </c>
    </row>
    <row r="28" spans="2:15" ht="15" x14ac:dyDescent="0.25">
      <c r="B28" t="s">
        <v>308</v>
      </c>
      <c r="E28">
        <v>350</v>
      </c>
      <c r="N28" s="284">
        <v>44867</v>
      </c>
      <c r="O28" s="255">
        <v>29</v>
      </c>
    </row>
    <row r="29" spans="2:15" ht="15" x14ac:dyDescent="0.25">
      <c r="B29" t="s">
        <v>309</v>
      </c>
      <c r="E29">
        <f>(40+45)/2</f>
        <v>42.5</v>
      </c>
      <c r="N29" s="285">
        <v>44867</v>
      </c>
      <c r="O29" s="255">
        <v>11</v>
      </c>
    </row>
    <row r="30" spans="2:15" ht="15" x14ac:dyDescent="0.25">
      <c r="B30" t="s">
        <v>310</v>
      </c>
      <c r="E30">
        <v>6</v>
      </c>
      <c r="N30" s="284">
        <v>44862</v>
      </c>
      <c r="O30" s="255">
        <v>18.16</v>
      </c>
    </row>
    <row r="31" spans="2:15" ht="15" x14ac:dyDescent="0.25">
      <c r="B31" s="597" t="s">
        <v>311</v>
      </c>
      <c r="C31" s="597"/>
      <c r="D31" s="597"/>
      <c r="E31" s="597"/>
      <c r="N31" s="285">
        <v>44861</v>
      </c>
      <c r="O31" s="255">
        <v>14.51</v>
      </c>
    </row>
    <row r="32" spans="2:15" ht="15" x14ac:dyDescent="0.25">
      <c r="B32" s="597"/>
      <c r="C32" s="597"/>
      <c r="D32" s="597"/>
      <c r="E32" s="597"/>
      <c r="N32" s="284">
        <v>45012</v>
      </c>
      <c r="O32" s="255">
        <v>28.58</v>
      </c>
    </row>
    <row r="33" spans="2:15" ht="15" x14ac:dyDescent="0.25">
      <c r="B33" s="592" t="s">
        <v>144</v>
      </c>
      <c r="C33" s="592"/>
      <c r="D33" s="592"/>
      <c r="E33" s="592"/>
      <c r="N33" s="285">
        <v>45011</v>
      </c>
      <c r="O33" s="255">
        <v>43.2</v>
      </c>
    </row>
    <row r="34" spans="2:15" ht="15" x14ac:dyDescent="0.25">
      <c r="B34" t="s">
        <v>312</v>
      </c>
      <c r="E34" s="247">
        <f>E19/E29</f>
        <v>25.804235294117653</v>
      </c>
      <c r="N34" s="285">
        <v>45006</v>
      </c>
      <c r="O34" s="255">
        <v>13.57</v>
      </c>
    </row>
    <row r="35" spans="2:15" ht="15" x14ac:dyDescent="0.25">
      <c r="B35" t="s">
        <v>313</v>
      </c>
      <c r="E35" s="247">
        <f>(E28*E30*E34)/1000</f>
        <v>54.188894117647067</v>
      </c>
      <c r="N35" s="284">
        <v>45004</v>
      </c>
      <c r="O35" s="255">
        <v>29.79</v>
      </c>
    </row>
    <row r="36" spans="2:15" ht="15" x14ac:dyDescent="0.25">
      <c r="B36" t="s">
        <v>145</v>
      </c>
      <c r="E36" s="247">
        <f>E35*E20</f>
        <v>2.8936869458823535</v>
      </c>
      <c r="N36" s="285">
        <v>44995</v>
      </c>
      <c r="O36" s="255">
        <v>38.950000000000003</v>
      </c>
    </row>
    <row r="37" spans="2:15" ht="15" x14ac:dyDescent="0.25">
      <c r="N37" s="284">
        <v>44972</v>
      </c>
      <c r="O37" s="255">
        <v>15.55</v>
      </c>
    </row>
    <row r="38" spans="2:15" ht="15" x14ac:dyDescent="0.25">
      <c r="B38" s="592" t="s">
        <v>146</v>
      </c>
      <c r="C38" s="592"/>
      <c r="D38" s="592"/>
      <c r="E38" s="592"/>
      <c r="N38" s="285">
        <v>44956</v>
      </c>
      <c r="O38" s="255">
        <v>18.440000000000001</v>
      </c>
    </row>
    <row r="39" spans="2:15" ht="15" x14ac:dyDescent="0.25">
      <c r="B39" s="593" t="s">
        <v>147</v>
      </c>
      <c r="C39" s="593"/>
      <c r="D39" s="593"/>
      <c r="E39" s="247">
        <f>E19/F11</f>
        <v>55.347463250883408</v>
      </c>
      <c r="N39" s="284">
        <v>44948</v>
      </c>
      <c r="O39" s="255">
        <v>26.59</v>
      </c>
    </row>
    <row r="40" spans="2:15" ht="15" x14ac:dyDescent="0.25">
      <c r="B40" s="593"/>
      <c r="C40" s="593"/>
      <c r="D40" s="593"/>
      <c r="N40" s="285">
        <v>44947</v>
      </c>
      <c r="O40" s="255">
        <v>17.13</v>
      </c>
    </row>
    <row r="41" spans="2:15" ht="15" x14ac:dyDescent="0.25">
      <c r="B41" t="s">
        <v>149</v>
      </c>
      <c r="E41" s="248">
        <f>(E39*E21)+(E39*E22*21)+(E39*E24*310)</f>
        <v>129.39002659626044</v>
      </c>
      <c r="N41" s="284">
        <v>44932</v>
      </c>
      <c r="O41" s="255">
        <v>41.52</v>
      </c>
    </row>
    <row r="42" spans="2:15" ht="15" x14ac:dyDescent="0.25">
      <c r="N42" s="285">
        <v>44931</v>
      </c>
      <c r="O42" s="255">
        <v>30.56</v>
      </c>
    </row>
    <row r="43" spans="2:15" ht="15" x14ac:dyDescent="0.25">
      <c r="B43" s="592" t="s">
        <v>150</v>
      </c>
      <c r="C43" s="592"/>
      <c r="D43" s="592"/>
      <c r="E43" s="592"/>
      <c r="N43" s="284">
        <v>44925</v>
      </c>
      <c r="O43" s="255">
        <v>40.049999999999997</v>
      </c>
    </row>
    <row r="44" spans="2:15" ht="15" x14ac:dyDescent="0.25">
      <c r="B44" t="s">
        <v>150</v>
      </c>
      <c r="N44" s="285">
        <v>44924</v>
      </c>
      <c r="O44" s="255">
        <v>27.08</v>
      </c>
    </row>
    <row r="45" spans="2:15" ht="15" x14ac:dyDescent="0.25">
      <c r="B45" t="s">
        <v>151</v>
      </c>
      <c r="E45" s="248">
        <f>E41-E36</f>
        <v>126.49633965037809</v>
      </c>
      <c r="N45" s="284">
        <v>44917</v>
      </c>
      <c r="O45" s="255">
        <v>19.47</v>
      </c>
    </row>
    <row r="46" spans="2:15" ht="15" x14ac:dyDescent="0.25">
      <c r="B46" t="s">
        <v>314</v>
      </c>
      <c r="E46">
        <f>E45/1000</f>
        <v>0.1264963396503781</v>
      </c>
      <c r="N46" s="285">
        <v>44916</v>
      </c>
      <c r="O46" s="255">
        <v>26.23</v>
      </c>
    </row>
    <row r="47" spans="2:15" ht="15" x14ac:dyDescent="0.25">
      <c r="N47" s="281" t="s">
        <v>315</v>
      </c>
      <c r="O47" s="283">
        <f>SUM(O3:O46)</f>
        <v>1096.6800000000003</v>
      </c>
    </row>
  </sheetData>
  <mergeCells count="16">
    <mergeCell ref="B38:E38"/>
    <mergeCell ref="B39:D40"/>
    <mergeCell ref="B43:E43"/>
    <mergeCell ref="N1:O1"/>
    <mergeCell ref="B22:D23"/>
    <mergeCell ref="E22:E23"/>
    <mergeCell ref="B24:D25"/>
    <mergeCell ref="B27:E27"/>
    <mergeCell ref="B31:E32"/>
    <mergeCell ref="B33:E33"/>
    <mergeCell ref="B1:L1"/>
    <mergeCell ref="B2:B3"/>
    <mergeCell ref="C2:L2"/>
    <mergeCell ref="E10:F10"/>
    <mergeCell ref="H10:L15"/>
    <mergeCell ref="B18:L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FE4F2-15FB-4FCE-B6B4-00416BF469CD}">
  <dimension ref="B2:S11"/>
  <sheetViews>
    <sheetView showGridLines="0" topLeftCell="A7" workbookViewId="0">
      <selection activeCell="D27" sqref="D27"/>
    </sheetView>
  </sheetViews>
  <sheetFormatPr baseColWidth="10" defaultColWidth="10" defaultRowHeight="14.25" x14ac:dyDescent="0.2"/>
  <cols>
    <col min="1" max="1" width="10" style="295"/>
    <col min="2" max="2" width="13" style="295" customWidth="1"/>
    <col min="3" max="3" width="17.875" style="295" customWidth="1"/>
    <col min="4" max="4" width="14.75" style="295" customWidth="1"/>
    <col min="5" max="6" width="10" style="295"/>
    <col min="7" max="7" width="14.875" style="295" customWidth="1"/>
    <col min="8" max="8" width="10" style="295"/>
    <col min="9" max="9" width="12.5" style="295" customWidth="1"/>
    <col min="10" max="11" width="10" style="295"/>
    <col min="12" max="12" width="16.375" style="295" customWidth="1"/>
    <col min="13" max="13" width="14.875" style="295" customWidth="1"/>
    <col min="14" max="14" width="14.5" style="295" customWidth="1"/>
    <col min="20" max="16384" width="10" style="295"/>
  </cols>
  <sheetData>
    <row r="2" spans="2:15" x14ac:dyDescent="0.2">
      <c r="B2" s="295" t="s">
        <v>316</v>
      </c>
    </row>
    <row r="3" spans="2:15" ht="15" customHeight="1" x14ac:dyDescent="0.25">
      <c r="B3" s="296" t="s">
        <v>317</v>
      </c>
      <c r="D3" s="301"/>
      <c r="E3" s="316"/>
      <c r="H3" s="301"/>
      <c r="I3" s="302"/>
      <c r="M3" s="302"/>
      <c r="O3" s="295"/>
    </row>
    <row r="4" spans="2:15" ht="15" x14ac:dyDescent="0.25">
      <c r="B4" s="296"/>
      <c r="D4" s="299"/>
      <c r="E4" s="299"/>
      <c r="I4" s="300"/>
      <c r="M4" s="300"/>
      <c r="O4" s="295"/>
    </row>
    <row r="5" spans="2:15" ht="15" customHeight="1" x14ac:dyDescent="0.2">
      <c r="B5" s="619" t="s">
        <v>318</v>
      </c>
      <c r="C5" s="619" t="s">
        <v>319</v>
      </c>
      <c r="D5" s="616" t="s">
        <v>320</v>
      </c>
      <c r="E5" s="616"/>
      <c r="F5" s="616"/>
      <c r="G5" s="616"/>
      <c r="H5" s="616"/>
      <c r="I5" s="613" t="s">
        <v>321</v>
      </c>
      <c r="J5" s="614"/>
      <c r="K5" s="614"/>
      <c r="L5" s="614"/>
      <c r="M5" s="615"/>
      <c r="N5" s="617" t="s">
        <v>322</v>
      </c>
      <c r="O5" s="295"/>
    </row>
    <row r="6" spans="2:15" ht="30" x14ac:dyDescent="0.2">
      <c r="B6" s="620"/>
      <c r="C6" s="620"/>
      <c r="D6" s="315" t="s">
        <v>323</v>
      </c>
      <c r="E6" s="315" t="s">
        <v>324</v>
      </c>
      <c r="F6" s="315" t="s">
        <v>325</v>
      </c>
      <c r="G6" s="315" t="s">
        <v>326</v>
      </c>
      <c r="H6" s="315" t="s">
        <v>327</v>
      </c>
      <c r="I6" s="315" t="s">
        <v>323</v>
      </c>
      <c r="J6" s="315" t="s">
        <v>324</v>
      </c>
      <c r="K6" s="315" t="s">
        <v>325</v>
      </c>
      <c r="L6" s="315" t="s">
        <v>326</v>
      </c>
      <c r="M6" s="314" t="s">
        <v>327</v>
      </c>
      <c r="N6" s="618"/>
      <c r="O6" s="295"/>
    </row>
    <row r="7" spans="2:15" ht="30" x14ac:dyDescent="0.25">
      <c r="B7" s="309">
        <v>12</v>
      </c>
      <c r="C7" s="309" t="s">
        <v>328</v>
      </c>
      <c r="D7" s="310">
        <v>100</v>
      </c>
      <c r="E7" s="309" t="s">
        <v>329</v>
      </c>
      <c r="F7" s="309">
        <f>4*60</f>
        <v>240</v>
      </c>
      <c r="G7" s="309">
        <f>60*4/1000*B7</f>
        <v>2.88</v>
      </c>
      <c r="H7" s="310">
        <f>G7*D7</f>
        <v>288</v>
      </c>
      <c r="I7" s="310">
        <v>100</v>
      </c>
      <c r="J7" s="309" t="s">
        <v>330</v>
      </c>
      <c r="K7" s="309">
        <v>108</v>
      </c>
      <c r="L7" s="309">
        <f>108/1000*B7</f>
        <v>1.296</v>
      </c>
      <c r="M7" s="311">
        <f>L7*I7</f>
        <v>129.6</v>
      </c>
      <c r="N7" s="312">
        <f>(H7*30*3)-(M7*30*3)</f>
        <v>14256</v>
      </c>
      <c r="O7" s="295"/>
    </row>
    <row r="8" spans="2:15" ht="45" x14ac:dyDescent="0.25">
      <c r="B8" s="309">
        <v>12</v>
      </c>
      <c r="C8" s="309" t="s">
        <v>328</v>
      </c>
      <c r="D8" s="310">
        <v>25</v>
      </c>
      <c r="E8" s="309" t="s">
        <v>331</v>
      </c>
      <c r="F8" s="309">
        <v>295</v>
      </c>
      <c r="G8" s="309">
        <f>295/1000*B8</f>
        <v>3.54</v>
      </c>
      <c r="H8" s="310">
        <f>G8*D8</f>
        <v>88.5</v>
      </c>
      <c r="I8" s="310">
        <v>25</v>
      </c>
      <c r="J8" s="309" t="s">
        <v>330</v>
      </c>
      <c r="K8" s="309">
        <v>108</v>
      </c>
      <c r="L8" s="309">
        <f>108/1000*B8</f>
        <v>1.296</v>
      </c>
      <c r="M8" s="311">
        <f>L8*I8</f>
        <v>32.4</v>
      </c>
      <c r="N8" s="313">
        <f>(H8*30*3)-(M8*30*3)</f>
        <v>5049</v>
      </c>
      <c r="O8" s="295"/>
    </row>
    <row r="9" spans="2:15" ht="15" x14ac:dyDescent="0.2">
      <c r="D9" s="303">
        <f>SUM(D7:D8)</f>
        <v>125</v>
      </c>
      <c r="I9" s="295">
        <f>I7+I8</f>
        <v>125</v>
      </c>
      <c r="M9" s="295" t="s">
        <v>332</v>
      </c>
      <c r="N9" s="297">
        <f>N7+N8</f>
        <v>19305</v>
      </c>
      <c r="O9" s="295"/>
    </row>
    <row r="10" spans="2:15" x14ac:dyDescent="0.2">
      <c r="B10" s="298" t="s">
        <v>333</v>
      </c>
      <c r="O10" s="295"/>
    </row>
    <row r="11" spans="2:15" x14ac:dyDescent="0.2">
      <c r="B11" s="298" t="s">
        <v>334</v>
      </c>
      <c r="O11" s="295"/>
    </row>
  </sheetData>
  <mergeCells count="5">
    <mergeCell ref="I5:M5"/>
    <mergeCell ref="D5:H5"/>
    <mergeCell ref="N5:N6"/>
    <mergeCell ref="B5:B6"/>
    <mergeCell ref="C5:C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65B845B1D01D04B9A39D7891D10DD18" ma:contentTypeVersion="17" ma:contentTypeDescription="Crear nuevo documento." ma:contentTypeScope="" ma:versionID="e90579efb0e3f10fbb5694ccb929d6a8">
  <xsd:schema xmlns:xsd="http://www.w3.org/2001/XMLSchema" xmlns:xs="http://www.w3.org/2001/XMLSchema" xmlns:p="http://schemas.microsoft.com/office/2006/metadata/properties" xmlns:ns2="e8e21bb5-6507-4709-96df-60698ada359b" xmlns:ns3="8c1a0845-d76f-45df-a68f-a31234277092" targetNamespace="http://schemas.microsoft.com/office/2006/metadata/properties" ma:root="true" ma:fieldsID="d8c462f3831ad12d3909342cb0e0b89b" ns2:_="" ns3:_="">
    <xsd:import namespace="e8e21bb5-6507-4709-96df-60698ada359b"/>
    <xsd:import namespace="8c1a0845-d76f-45df-a68f-a312342770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21bb5-6507-4709-96df-60698ada35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526b8547-2968-49f4-998e-dc1b97ecf89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1a0845-d76f-45df-a68f-a31234277092"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21ab5b0-cd03-4bf9-a9e1-8d3d5bb1a03c}" ma:internalName="TaxCatchAll" ma:showField="CatchAllData" ma:web="8c1a0845-d76f-45df-a68f-a312342770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8e21bb5-6507-4709-96df-60698ada359b">
      <Terms xmlns="http://schemas.microsoft.com/office/infopath/2007/PartnerControls"/>
    </lcf76f155ced4ddcb4097134ff3c332f>
    <TaxCatchAll xmlns="8c1a0845-d76f-45df-a68f-a31234277092" xsi:nil="true"/>
  </documentManagement>
</p:properties>
</file>

<file path=customXml/itemProps1.xml><?xml version="1.0" encoding="utf-8"?>
<ds:datastoreItem xmlns:ds="http://schemas.openxmlformats.org/officeDocument/2006/customXml" ds:itemID="{1063376D-C9CB-462E-9ED9-ACD6B9E06942}"/>
</file>

<file path=customXml/itemProps2.xml><?xml version="1.0" encoding="utf-8"?>
<ds:datastoreItem xmlns:ds="http://schemas.openxmlformats.org/officeDocument/2006/customXml" ds:itemID="{92274760-1083-4B17-A7DE-17E335E4AFBE}">
  <ds:schemaRefs>
    <ds:schemaRef ds:uri="http://schemas.microsoft.com/sharepoint/v3/contenttype/forms"/>
  </ds:schemaRefs>
</ds:datastoreItem>
</file>

<file path=customXml/itemProps3.xml><?xml version="1.0" encoding="utf-8"?>
<ds:datastoreItem xmlns:ds="http://schemas.openxmlformats.org/officeDocument/2006/customXml" ds:itemID="{6E800E41-1DC4-4B09-87DE-2267264582D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7</vt:i4>
      </vt:variant>
    </vt:vector>
  </HeadingPairs>
  <TitlesOfParts>
    <vt:vector size="7" baseType="lpstr">
      <vt:lpstr>Declaración de compromiso</vt:lpstr>
      <vt:lpstr>Indir Significativas en el plan</vt:lpstr>
      <vt:lpstr>Plan de gestión de reducciones</vt:lpstr>
      <vt:lpstr>Documentación de reducciones</vt:lpstr>
      <vt:lpstr>Combustible</vt:lpstr>
      <vt:lpstr>Bicicletas</vt:lpstr>
      <vt:lpstr>Luminarias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dc:creator>
  <cp:keywords/>
  <dc:description/>
  <cp:lastModifiedBy>Raquel Mejias Elizondo</cp:lastModifiedBy>
  <cp:revision/>
  <dcterms:created xsi:type="dcterms:W3CDTF">2017-09-27T07:24:33Z</dcterms:created>
  <dcterms:modified xsi:type="dcterms:W3CDTF">2023-09-26T19:54:03Z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0x0101003D282A79FAEFC242992BA7EB55702B67</vt:lpwstr>
  </property>
  <property fmtid="{D5CDD505-2E9C-101B-9397-08002B2CF9AE}" pid="3" name="MediaServiceImageTags">
    <vt:lpwstr/>
  </property>
</Properties>
</file>